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C:\Users\a.faraji\Desktop\"/>
    </mc:Choice>
  </mc:AlternateContent>
  <xr:revisionPtr revIDLastSave="0" documentId="13_ncr:1_{2076F029-BF2C-4DF6-8464-D0AD8A688D95}" xr6:coauthVersionLast="47" xr6:coauthVersionMax="47" xr10:uidLastSave="{00000000-0000-0000-0000-000000000000}"/>
  <bookViews>
    <workbookView xWindow="-108" yWindow="-108" windowWidth="23256" windowHeight="12576" xr2:uid="{22E6053C-410C-4616-BF68-45C0F59E7DA6}"/>
  </bookViews>
  <sheets>
    <sheet name="Report Dashboard" sheetId="21" r:id="rId1"/>
    <sheet name="عرضه بورس" sheetId="24" r:id="rId2"/>
    <sheet name="Sheet1" sheetId="23" r:id="rId3"/>
    <sheet name="لیست پیش فاکتور ها" sheetId="5" r:id="rId4"/>
    <sheet name="جزییات بارگیری" sheetId="6" r:id="rId5"/>
    <sheet name="زمانبندی فروش" sheetId="18" r:id="rId6"/>
    <sheet name="calc" sheetId="22" r:id="rId7"/>
    <sheet name="فروش انجمن" sheetId="19" r:id="rId8"/>
    <sheet name="زمانبندی فروش (2)" sheetId="20" r:id="rId9"/>
  </sheets>
  <definedNames>
    <definedName name="_xlnm._FilterDatabase" localSheetId="8" hidden="1">'زمانبندی فروش (2)'!$A$1:$Q$46</definedName>
    <definedName name="_xlnm._FilterDatabase" localSheetId="7" hidden="1">'فروش انجمن'!$A$2:$B$16</definedName>
    <definedName name="_xlcn.WorksheetConnection_Sale_Dashboard.xlsxinvoice21" hidden="1">invoice2[]</definedName>
    <definedName name="_xlcn.WorksheetConnection_گزارشتجمیعیفروش.xlsxbargiri1" hidden="1">bargiri[]</definedName>
    <definedName name="_xlcn.WorksheetConnection_گزارشتجمیعیفروش.xlsxinvoice1" hidden="1">invoice[]</definedName>
    <definedName name="_xlcn.WorksheetConnection_گزارشتجمیعیفروش.xlsxTable11" hidden="1">Table1</definedName>
    <definedName name="ExternalData_1" localSheetId="4" hidden="1">'جزییات بارگیری'!$A$1:$G$1723</definedName>
    <definedName name="_xlnm.Print_Area" localSheetId="7">'فروش انجمن'!$A$2:$F$16</definedName>
    <definedName name="_xlnm.Print_Titles" localSheetId="5">'زمانبندی فروش'!$1:$1</definedName>
    <definedName name="_xlnm.Print_Titles" localSheetId="8">'زمانبندی فروش (2)'!$1:$1</definedName>
    <definedName name="_xlnm.Print_Titles" localSheetId="7">'فروش انجمن'!$2:$2</definedName>
    <definedName name="Slicer_نام_مشتری">#N/A</definedName>
    <definedName name="year">calc!$BV$5</definedName>
    <definedName name="years">calc!$BU$24:$BU$34</definedName>
  </definedNames>
  <calcPr calcId="191029"/>
  <pivotCaches>
    <pivotCache cacheId="0" r:id="rId10"/>
    <pivotCache cacheId="366" r:id="rId11"/>
    <pivotCache cacheId="369" r:id="rId12"/>
    <pivotCache cacheId="372" r:id="rId13"/>
    <pivotCache cacheId="375" r:id="rId14"/>
    <pivotCache cacheId="378" r:id="rId15"/>
    <pivotCache cacheId="381" r:id="rId16"/>
    <pivotCache cacheId="384" r:id="rId17"/>
    <pivotCache cacheId="387" r:id="rId18"/>
  </pivotCaches>
  <extLst>
    <ext xmlns:x14="http://schemas.microsoft.com/office/spreadsheetml/2009/9/main" uri="{876F7934-8845-4945-9796-88D515C7AA90}">
      <x14:pivotCaches>
        <pivotCache cacheId="365" r:id="rId19"/>
      </x14:pivotCaches>
    </ext>
    <ext xmlns:x14="http://schemas.microsoft.com/office/spreadsheetml/2009/9/main" uri="{BBE1A952-AA13-448e-AADC-164F8A28A991}">
      <x14:slicerCaches>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گزارش تجمیعی فروش.xlsx!Table1"/>
          <x15:modelTable id="invoice" name="invoice" connection="WorksheetConnection_گزارش تجمیعی فروش.xlsx!invoice"/>
          <x15:modelTable id="bargiri" name="bargiri" connection="WorksheetConnection_گزارش تجمیعی فروش.xlsx!bargiri"/>
          <x15:modelTable id="invoice2" name="invoice2" connection="WorksheetConnection_Sale_Dashboard.xlsx!invoice2"/>
        </x15:modelTables>
        <x15:modelRelationships>
          <x15:modelRelationship fromTable="bargiri" fromColumn="شماره پیش فاکتور" toTable="invoice" toColumn="شماره پیش فاکتور"/>
          <x15:modelRelationship fromTable="invoice" fromColumn="شماره پیش فاکتور" toTable="invoice2" toColumn="شماره پیش فاکتور"/>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 i="6" l="1"/>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H1100" i="6"/>
  <c r="H1101" i="6"/>
  <c r="H1102" i="6"/>
  <c r="H1103" i="6"/>
  <c r="H1104" i="6"/>
  <c r="H1105" i="6"/>
  <c r="H1106" i="6"/>
  <c r="H1107" i="6"/>
  <c r="H1108" i="6"/>
  <c r="H1109" i="6"/>
  <c r="H1110" i="6"/>
  <c r="H1111" i="6"/>
  <c r="H1112" i="6"/>
  <c r="H1113" i="6"/>
  <c r="H1114" i="6"/>
  <c r="H1115" i="6"/>
  <c r="H1116" i="6"/>
  <c r="H1117" i="6"/>
  <c r="H1118" i="6"/>
  <c r="H1119" i="6"/>
  <c r="H1120" i="6"/>
  <c r="H1121" i="6"/>
  <c r="H1122" i="6"/>
  <c r="H1123" i="6"/>
  <c r="H1124" i="6"/>
  <c r="H1125" i="6"/>
  <c r="H1126" i="6"/>
  <c r="H1127" i="6"/>
  <c r="H1128" i="6"/>
  <c r="H1129" i="6"/>
  <c r="H1130" i="6"/>
  <c r="H1131" i="6"/>
  <c r="H1132" i="6"/>
  <c r="H1133" i="6"/>
  <c r="H1134" i="6"/>
  <c r="H1135" i="6"/>
  <c r="H1136" i="6"/>
  <c r="H1137" i="6"/>
  <c r="H1138" i="6"/>
  <c r="H1139" i="6"/>
  <c r="H1140" i="6"/>
  <c r="H1141" i="6"/>
  <c r="H1142" i="6"/>
  <c r="H1143" i="6"/>
  <c r="H1144" i="6"/>
  <c r="H1145" i="6"/>
  <c r="H1146" i="6"/>
  <c r="H1147" i="6"/>
  <c r="H1148" i="6"/>
  <c r="H1149" i="6"/>
  <c r="H1150" i="6"/>
  <c r="H1151" i="6"/>
  <c r="H1152" i="6"/>
  <c r="H1153" i="6"/>
  <c r="H1154" i="6"/>
  <c r="H1155" i="6"/>
  <c r="H1156" i="6"/>
  <c r="H1157" i="6"/>
  <c r="H1158" i="6"/>
  <c r="H1159" i="6"/>
  <c r="H1160" i="6"/>
  <c r="H1161" i="6"/>
  <c r="H1162" i="6"/>
  <c r="H1163" i="6"/>
  <c r="H1164" i="6"/>
  <c r="H1165" i="6"/>
  <c r="H1166" i="6"/>
  <c r="H1167" i="6"/>
  <c r="H1168" i="6"/>
  <c r="H1169" i="6"/>
  <c r="H1170" i="6"/>
  <c r="H1171" i="6"/>
  <c r="H1172" i="6"/>
  <c r="H1173" i="6"/>
  <c r="H1174" i="6"/>
  <c r="H1175" i="6"/>
  <c r="H1176" i="6"/>
  <c r="H1177" i="6"/>
  <c r="H1178" i="6"/>
  <c r="H1179" i="6"/>
  <c r="H1180" i="6"/>
  <c r="H1181" i="6"/>
  <c r="H1182" i="6"/>
  <c r="H1183" i="6"/>
  <c r="H1184" i="6"/>
  <c r="H1185" i="6"/>
  <c r="H1186" i="6"/>
  <c r="H1187" i="6"/>
  <c r="H1188" i="6"/>
  <c r="H1189" i="6"/>
  <c r="H1190" i="6"/>
  <c r="H1191" i="6"/>
  <c r="H1192" i="6"/>
  <c r="H1193" i="6"/>
  <c r="H1194" i="6"/>
  <c r="H1195" i="6"/>
  <c r="H1196" i="6"/>
  <c r="H1197" i="6"/>
  <c r="H1198" i="6"/>
  <c r="H1199" i="6"/>
  <c r="H1200" i="6"/>
  <c r="H1201" i="6"/>
  <c r="H1202" i="6"/>
  <c r="H1203" i="6"/>
  <c r="H1204" i="6"/>
  <c r="H1205" i="6"/>
  <c r="H1206" i="6"/>
  <c r="H1207" i="6"/>
  <c r="H1208" i="6"/>
  <c r="H1209" i="6"/>
  <c r="H1210" i="6"/>
  <c r="H1211" i="6"/>
  <c r="H1212" i="6"/>
  <c r="H1213" i="6"/>
  <c r="H1214" i="6"/>
  <c r="H1215" i="6"/>
  <c r="H1216" i="6"/>
  <c r="H1217" i="6"/>
  <c r="H1218" i="6"/>
  <c r="H1219" i="6"/>
  <c r="H1220" i="6"/>
  <c r="H1221" i="6"/>
  <c r="H1222" i="6"/>
  <c r="H1223" i="6"/>
  <c r="H1224" i="6"/>
  <c r="H1225" i="6"/>
  <c r="H1226" i="6"/>
  <c r="H1227" i="6"/>
  <c r="H1228" i="6"/>
  <c r="H1229" i="6"/>
  <c r="H1230" i="6"/>
  <c r="H1231" i="6"/>
  <c r="H1232" i="6"/>
  <c r="H1233" i="6"/>
  <c r="H1234" i="6"/>
  <c r="H1235" i="6"/>
  <c r="H1236" i="6"/>
  <c r="H1237" i="6"/>
  <c r="H1238" i="6"/>
  <c r="H1239" i="6"/>
  <c r="H1240" i="6"/>
  <c r="H1241" i="6"/>
  <c r="H1242" i="6"/>
  <c r="H1243" i="6"/>
  <c r="H1244" i="6"/>
  <c r="H1245" i="6"/>
  <c r="H1246" i="6"/>
  <c r="H1247" i="6"/>
  <c r="H1248" i="6"/>
  <c r="H1249" i="6"/>
  <c r="H1250" i="6"/>
  <c r="H1251" i="6"/>
  <c r="H1252" i="6"/>
  <c r="H1253" i="6"/>
  <c r="H1254" i="6"/>
  <c r="H1255" i="6"/>
  <c r="H1256" i="6"/>
  <c r="H1257" i="6"/>
  <c r="H1258" i="6"/>
  <c r="H1259" i="6"/>
  <c r="H1260" i="6"/>
  <c r="H1261" i="6"/>
  <c r="H1262" i="6"/>
  <c r="H1263" i="6"/>
  <c r="H1264" i="6"/>
  <c r="H1265" i="6"/>
  <c r="H1266" i="6"/>
  <c r="H1267" i="6"/>
  <c r="H1268" i="6"/>
  <c r="H1269" i="6"/>
  <c r="H1270" i="6"/>
  <c r="H1271" i="6"/>
  <c r="H1272" i="6"/>
  <c r="H1273" i="6"/>
  <c r="H1274" i="6"/>
  <c r="H1275" i="6"/>
  <c r="H1276" i="6"/>
  <c r="H1277" i="6"/>
  <c r="H1278" i="6"/>
  <c r="H1279" i="6"/>
  <c r="H1280" i="6"/>
  <c r="H1281" i="6"/>
  <c r="H1282" i="6"/>
  <c r="H1283" i="6"/>
  <c r="H1284" i="6"/>
  <c r="H1285" i="6"/>
  <c r="H1286" i="6"/>
  <c r="H1287" i="6"/>
  <c r="H1288" i="6"/>
  <c r="H1289" i="6"/>
  <c r="H1290" i="6"/>
  <c r="H1291" i="6"/>
  <c r="H1292" i="6"/>
  <c r="H1293" i="6"/>
  <c r="H1294" i="6"/>
  <c r="H1295" i="6"/>
  <c r="H1296" i="6"/>
  <c r="H1297" i="6"/>
  <c r="H1298" i="6"/>
  <c r="H1299" i="6"/>
  <c r="H1300" i="6"/>
  <c r="H1301" i="6"/>
  <c r="H1302" i="6"/>
  <c r="H1303" i="6"/>
  <c r="H1304" i="6"/>
  <c r="H1305" i="6"/>
  <c r="H1306" i="6"/>
  <c r="H1307" i="6"/>
  <c r="H1308" i="6"/>
  <c r="H1309" i="6"/>
  <c r="H1310" i="6"/>
  <c r="H1311" i="6"/>
  <c r="H1312" i="6"/>
  <c r="H1313" i="6"/>
  <c r="H1314" i="6"/>
  <c r="H1315" i="6"/>
  <c r="H1316" i="6"/>
  <c r="H1317" i="6"/>
  <c r="H1318" i="6"/>
  <c r="H1319" i="6"/>
  <c r="H1320" i="6"/>
  <c r="H1321" i="6"/>
  <c r="H1322" i="6"/>
  <c r="H1323" i="6"/>
  <c r="H1324" i="6"/>
  <c r="H1325" i="6"/>
  <c r="H1326" i="6"/>
  <c r="H1327" i="6"/>
  <c r="H1328" i="6"/>
  <c r="H1329" i="6"/>
  <c r="H1330" i="6"/>
  <c r="H1331" i="6"/>
  <c r="H1332" i="6"/>
  <c r="H1333" i="6"/>
  <c r="H1334" i="6"/>
  <c r="H1335" i="6"/>
  <c r="H1336" i="6"/>
  <c r="H1337" i="6"/>
  <c r="H1338" i="6"/>
  <c r="H1339" i="6"/>
  <c r="H1340" i="6"/>
  <c r="H1341" i="6"/>
  <c r="H1342" i="6"/>
  <c r="H1343" i="6"/>
  <c r="H1344" i="6"/>
  <c r="H1345" i="6"/>
  <c r="H1346" i="6"/>
  <c r="H1347" i="6"/>
  <c r="H1348" i="6"/>
  <c r="H1349" i="6"/>
  <c r="H1350" i="6"/>
  <c r="H1351" i="6"/>
  <c r="H1352" i="6"/>
  <c r="H1353" i="6"/>
  <c r="H1354" i="6"/>
  <c r="H1355" i="6"/>
  <c r="H1356" i="6"/>
  <c r="H1357" i="6"/>
  <c r="H1358" i="6"/>
  <c r="H1359" i="6"/>
  <c r="H1360" i="6"/>
  <c r="H1361" i="6"/>
  <c r="H1362" i="6"/>
  <c r="H1363" i="6"/>
  <c r="H1364" i="6"/>
  <c r="H1365" i="6"/>
  <c r="H1366" i="6"/>
  <c r="H1367" i="6"/>
  <c r="H1368" i="6"/>
  <c r="H1369" i="6"/>
  <c r="H1370" i="6"/>
  <c r="H1371" i="6"/>
  <c r="H1372" i="6"/>
  <c r="H1373" i="6"/>
  <c r="H1374" i="6"/>
  <c r="H1375" i="6"/>
  <c r="H1376" i="6"/>
  <c r="H1377" i="6"/>
  <c r="H1378" i="6"/>
  <c r="H1379" i="6"/>
  <c r="H1380" i="6"/>
  <c r="H1381" i="6"/>
  <c r="H1382" i="6"/>
  <c r="H1383" i="6"/>
  <c r="H1384" i="6"/>
  <c r="H1385" i="6"/>
  <c r="H1386" i="6"/>
  <c r="H1387" i="6"/>
  <c r="H1388" i="6"/>
  <c r="H1389" i="6"/>
  <c r="H1390" i="6"/>
  <c r="H1391" i="6"/>
  <c r="H1392" i="6"/>
  <c r="H1393" i="6"/>
  <c r="H1394" i="6"/>
  <c r="H1395" i="6"/>
  <c r="H1396" i="6"/>
  <c r="H1397" i="6"/>
  <c r="H1398" i="6"/>
  <c r="H1399" i="6"/>
  <c r="H1400" i="6"/>
  <c r="H1401" i="6"/>
  <c r="H1402" i="6"/>
  <c r="H1403" i="6"/>
  <c r="H1404" i="6"/>
  <c r="H1405" i="6"/>
  <c r="H1406" i="6"/>
  <c r="H1407" i="6"/>
  <c r="H1408" i="6"/>
  <c r="H1409" i="6"/>
  <c r="H1410" i="6"/>
  <c r="H1411" i="6"/>
  <c r="H1412" i="6"/>
  <c r="H1413" i="6"/>
  <c r="H1414" i="6"/>
  <c r="H1415" i="6"/>
  <c r="H1416" i="6"/>
  <c r="H1417" i="6"/>
  <c r="H1418" i="6"/>
  <c r="H1419" i="6"/>
  <c r="H1420" i="6"/>
  <c r="H1421" i="6"/>
  <c r="H1422" i="6"/>
  <c r="H1423" i="6"/>
  <c r="H1424" i="6"/>
  <c r="H1425" i="6"/>
  <c r="H1426" i="6"/>
  <c r="H1427" i="6"/>
  <c r="H1428" i="6"/>
  <c r="H1429" i="6"/>
  <c r="H1430" i="6"/>
  <c r="H1431" i="6"/>
  <c r="H1432" i="6"/>
  <c r="H1433" i="6"/>
  <c r="H1434" i="6"/>
  <c r="H1435" i="6"/>
  <c r="H1436" i="6"/>
  <c r="H1437" i="6"/>
  <c r="H1438" i="6"/>
  <c r="H1439" i="6"/>
  <c r="H1440" i="6"/>
  <c r="H1441" i="6"/>
  <c r="H1442" i="6"/>
  <c r="H1443" i="6"/>
  <c r="H1444" i="6"/>
  <c r="H1445" i="6"/>
  <c r="H1446" i="6"/>
  <c r="H1447" i="6"/>
  <c r="H1448" i="6"/>
  <c r="H1449" i="6"/>
  <c r="H1450" i="6"/>
  <c r="H1451" i="6"/>
  <c r="H1452" i="6"/>
  <c r="H1453" i="6"/>
  <c r="H1454" i="6"/>
  <c r="H1455" i="6"/>
  <c r="H1456" i="6"/>
  <c r="H1457" i="6"/>
  <c r="H1458" i="6"/>
  <c r="H1459" i="6"/>
  <c r="H1460" i="6"/>
  <c r="H1461" i="6"/>
  <c r="H1462" i="6"/>
  <c r="H1463" i="6"/>
  <c r="H1464" i="6"/>
  <c r="H1465" i="6"/>
  <c r="H1466" i="6"/>
  <c r="H1467" i="6"/>
  <c r="H1468" i="6"/>
  <c r="H1469" i="6"/>
  <c r="H1470" i="6"/>
  <c r="H1471" i="6"/>
  <c r="H1472" i="6"/>
  <c r="H1473" i="6"/>
  <c r="H1474" i="6"/>
  <c r="H1475" i="6"/>
  <c r="H1476" i="6"/>
  <c r="H1477" i="6"/>
  <c r="H1478" i="6"/>
  <c r="H1479" i="6"/>
  <c r="H1480" i="6"/>
  <c r="H1481" i="6"/>
  <c r="H1482" i="6"/>
  <c r="H1483" i="6"/>
  <c r="H1484" i="6"/>
  <c r="H1485" i="6"/>
  <c r="H1486" i="6"/>
  <c r="H1487" i="6"/>
  <c r="H1488" i="6"/>
  <c r="H1489" i="6"/>
  <c r="H1490" i="6"/>
  <c r="H1491" i="6"/>
  <c r="H1492" i="6"/>
  <c r="H1493" i="6"/>
  <c r="H1494" i="6"/>
  <c r="H1495" i="6"/>
  <c r="H1496" i="6"/>
  <c r="H1497" i="6"/>
  <c r="H1498" i="6"/>
  <c r="H1499" i="6"/>
  <c r="H1500" i="6"/>
  <c r="H1501" i="6"/>
  <c r="H1502" i="6"/>
  <c r="H1503" i="6"/>
  <c r="H1504" i="6"/>
  <c r="H1505" i="6"/>
  <c r="H1506" i="6"/>
  <c r="H1507" i="6"/>
  <c r="H1508" i="6"/>
  <c r="H1509" i="6"/>
  <c r="H1510" i="6"/>
  <c r="H1511" i="6"/>
  <c r="H1512" i="6"/>
  <c r="H1513" i="6"/>
  <c r="H1514" i="6"/>
  <c r="H1515" i="6"/>
  <c r="H1516" i="6"/>
  <c r="H1517" i="6"/>
  <c r="H1518" i="6"/>
  <c r="H1519" i="6"/>
  <c r="H1520" i="6"/>
  <c r="H1521" i="6"/>
  <c r="H1522" i="6"/>
  <c r="H1523" i="6"/>
  <c r="H1524" i="6"/>
  <c r="H1525" i="6"/>
  <c r="H1526" i="6"/>
  <c r="H1527" i="6"/>
  <c r="H1528" i="6"/>
  <c r="H1529" i="6"/>
  <c r="H1530" i="6"/>
  <c r="H1531" i="6"/>
  <c r="H1532" i="6"/>
  <c r="H1533" i="6"/>
  <c r="H1534" i="6"/>
  <c r="H1535" i="6"/>
  <c r="H1536" i="6"/>
  <c r="H1537" i="6"/>
  <c r="H1538" i="6"/>
  <c r="H1539" i="6"/>
  <c r="H1540" i="6"/>
  <c r="H1541" i="6"/>
  <c r="H1542" i="6"/>
  <c r="H1543" i="6"/>
  <c r="H1544" i="6"/>
  <c r="H1545" i="6"/>
  <c r="H1546" i="6"/>
  <c r="H1547" i="6"/>
  <c r="H1548" i="6"/>
  <c r="H1549" i="6"/>
  <c r="H1550" i="6"/>
  <c r="H1551" i="6"/>
  <c r="H1552" i="6"/>
  <c r="H1553" i="6"/>
  <c r="H1554" i="6"/>
  <c r="H1555" i="6"/>
  <c r="H1556" i="6"/>
  <c r="H1557" i="6"/>
  <c r="H1558" i="6"/>
  <c r="H1559" i="6"/>
  <c r="H1560" i="6"/>
  <c r="H1561" i="6"/>
  <c r="H1562" i="6"/>
  <c r="H1563" i="6"/>
  <c r="H1564" i="6"/>
  <c r="H1565" i="6"/>
  <c r="H1566" i="6"/>
  <c r="H1567" i="6"/>
  <c r="H1568" i="6"/>
  <c r="H1569" i="6"/>
  <c r="H1570" i="6"/>
  <c r="H1571" i="6"/>
  <c r="H1572" i="6"/>
  <c r="H1573" i="6"/>
  <c r="H1574" i="6"/>
  <c r="H1575" i="6"/>
  <c r="H1576" i="6"/>
  <c r="H1577" i="6"/>
  <c r="H1578" i="6"/>
  <c r="H1579" i="6"/>
  <c r="H1580" i="6"/>
  <c r="H1581" i="6"/>
  <c r="H1582" i="6"/>
  <c r="H1583" i="6"/>
  <c r="H1584" i="6"/>
  <c r="H1585" i="6"/>
  <c r="H1586" i="6"/>
  <c r="H1587" i="6"/>
  <c r="H1588" i="6"/>
  <c r="H1589" i="6"/>
  <c r="H1590" i="6"/>
  <c r="H1591" i="6"/>
  <c r="H1592" i="6"/>
  <c r="H1593" i="6"/>
  <c r="H1594" i="6"/>
  <c r="H1595" i="6"/>
  <c r="H1596" i="6"/>
  <c r="H1597" i="6"/>
  <c r="H1598" i="6"/>
  <c r="H1599" i="6"/>
  <c r="H1600" i="6"/>
  <c r="H1601" i="6"/>
  <c r="H1602" i="6"/>
  <c r="H1603" i="6"/>
  <c r="H1604" i="6"/>
  <c r="H1605" i="6"/>
  <c r="H1606" i="6"/>
  <c r="H1607" i="6"/>
  <c r="H1608" i="6"/>
  <c r="H1609" i="6"/>
  <c r="H1610" i="6"/>
  <c r="H1611" i="6"/>
  <c r="H1612" i="6"/>
  <c r="H1613" i="6"/>
  <c r="H1614" i="6"/>
  <c r="H1615" i="6"/>
  <c r="H1616" i="6"/>
  <c r="H1617" i="6"/>
  <c r="H1618" i="6"/>
  <c r="H1619" i="6"/>
  <c r="H1620" i="6"/>
  <c r="H1621" i="6"/>
  <c r="H1622" i="6"/>
  <c r="H1623" i="6"/>
  <c r="H1624" i="6"/>
  <c r="H1625" i="6"/>
  <c r="H1626" i="6"/>
  <c r="H1627" i="6"/>
  <c r="H1628" i="6"/>
  <c r="H1629" i="6"/>
  <c r="H1630" i="6"/>
  <c r="H1631" i="6"/>
  <c r="H1632" i="6"/>
  <c r="H1633" i="6"/>
  <c r="H1634" i="6"/>
  <c r="H1635" i="6"/>
  <c r="H1636" i="6"/>
  <c r="H1637" i="6"/>
  <c r="H1638" i="6"/>
  <c r="H1639" i="6"/>
  <c r="H1640" i="6"/>
  <c r="H1641" i="6"/>
  <c r="H1642" i="6"/>
  <c r="H1643" i="6"/>
  <c r="H1644" i="6"/>
  <c r="H1645" i="6"/>
  <c r="H1646" i="6"/>
  <c r="H1647" i="6"/>
  <c r="H1648" i="6"/>
  <c r="H1649" i="6"/>
  <c r="H1650" i="6"/>
  <c r="H1651" i="6"/>
  <c r="H1652" i="6"/>
  <c r="H1653" i="6"/>
  <c r="H1654" i="6"/>
  <c r="H1655" i="6"/>
  <c r="H1656" i="6"/>
  <c r="H1657" i="6"/>
  <c r="H1658" i="6"/>
  <c r="H1659" i="6"/>
  <c r="H1660" i="6"/>
  <c r="H1661" i="6"/>
  <c r="H1662" i="6"/>
  <c r="H1663" i="6"/>
  <c r="H1664" i="6"/>
  <c r="H1665" i="6"/>
  <c r="H1666" i="6"/>
  <c r="H1667" i="6"/>
  <c r="H1668" i="6"/>
  <c r="H1669" i="6"/>
  <c r="H1670" i="6"/>
  <c r="H1671" i="6"/>
  <c r="H1672" i="6"/>
  <c r="H1673" i="6"/>
  <c r="H1674" i="6"/>
  <c r="H1675" i="6"/>
  <c r="H1676" i="6"/>
  <c r="H1677" i="6"/>
  <c r="H1678" i="6"/>
  <c r="H1679" i="6"/>
  <c r="H1680" i="6"/>
  <c r="H1681" i="6"/>
  <c r="H1682" i="6"/>
  <c r="H1683" i="6"/>
  <c r="H1684" i="6"/>
  <c r="H1685" i="6"/>
  <c r="H1686" i="6"/>
  <c r="H1687" i="6"/>
  <c r="H1688" i="6"/>
  <c r="H1689" i="6"/>
  <c r="H1690" i="6"/>
  <c r="H1691" i="6"/>
  <c r="H1692" i="6"/>
  <c r="H1693" i="6"/>
  <c r="H1694" i="6"/>
  <c r="H1695" i="6"/>
  <c r="H1696" i="6"/>
  <c r="H1697" i="6"/>
  <c r="H1698" i="6"/>
  <c r="H1699" i="6"/>
  <c r="H1700" i="6"/>
  <c r="H1701" i="6"/>
  <c r="H1702" i="6"/>
  <c r="H1703" i="6"/>
  <c r="H1704" i="6"/>
  <c r="H1705" i="6"/>
  <c r="H1706" i="6"/>
  <c r="H1707" i="6"/>
  <c r="H1708" i="6"/>
  <c r="H1709" i="6"/>
  <c r="H1710" i="6"/>
  <c r="H1711" i="6"/>
  <c r="H1712" i="6"/>
  <c r="H1713" i="6"/>
  <c r="H1714" i="6"/>
  <c r="H1715" i="6"/>
  <c r="H1716" i="6"/>
  <c r="H1717" i="6"/>
  <c r="H1718" i="6"/>
  <c r="H1719" i="6"/>
  <c r="H1720" i="6"/>
  <c r="H1721" i="6"/>
  <c r="H1722" i="6"/>
  <c r="H1723" i="6"/>
  <c r="I2" i="6"/>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0"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G157" i="5" l="1"/>
  <c r="H157" i="5"/>
  <c r="L157" i="5" s="1"/>
  <c r="O157" i="5"/>
  <c r="G156" i="5" l="1"/>
  <c r="H156" i="5"/>
  <c r="L156" i="5" s="1"/>
  <c r="O156" i="5"/>
  <c r="G155" i="5"/>
  <c r="H155" i="5"/>
  <c r="L155" i="5" s="1"/>
  <c r="O155" i="5"/>
  <c r="G154" i="5"/>
  <c r="H154" i="5"/>
  <c r="L154" i="5" s="1"/>
  <c r="O154" i="5"/>
  <c r="G153" i="5"/>
  <c r="H153" i="5"/>
  <c r="L153" i="5" s="1"/>
  <c r="O153" i="5"/>
  <c r="G152" i="5" l="1"/>
  <c r="H152" i="5"/>
  <c r="L152" i="5" s="1"/>
  <c r="O152" i="5"/>
  <c r="G151" i="5"/>
  <c r="H151" i="5"/>
  <c r="L151" i="5" s="1"/>
  <c r="O151" i="5"/>
  <c r="G150" i="5"/>
  <c r="H150" i="5"/>
  <c r="L150" i="5" s="1"/>
  <c r="O150" i="5"/>
  <c r="G149" i="5"/>
  <c r="H149" i="5"/>
  <c r="L149" i="5" s="1"/>
  <c r="O149" i="5"/>
  <c r="G148" i="5" l="1"/>
  <c r="H148" i="5"/>
  <c r="O148" i="5"/>
  <c r="G147" i="5"/>
  <c r="H147" i="5"/>
  <c r="O147" i="5"/>
  <c r="G146" i="5"/>
  <c r="H146" i="5"/>
  <c r="O146" i="5"/>
  <c r="G145" i="5"/>
  <c r="H145" i="5"/>
  <c r="O145" i="5"/>
  <c r="F2" i="24" l="1"/>
  <c r="G2" i="24"/>
  <c r="F3" i="24"/>
  <c r="G3" i="24"/>
  <c r="F4" i="24"/>
  <c r="G4" i="24"/>
  <c r="F5" i="24"/>
  <c r="G5" i="24"/>
  <c r="F6" i="24"/>
  <c r="G6" i="24"/>
  <c r="F7" i="24"/>
  <c r="G7" i="24"/>
  <c r="F8" i="24"/>
  <c r="G8" i="24"/>
  <c r="F9" i="24"/>
  <c r="G9" i="24"/>
  <c r="F10" i="24"/>
  <c r="G10" i="24"/>
  <c r="F11" i="24"/>
  <c r="G11" i="24"/>
  <c r="F12" i="24"/>
  <c r="G12" i="24"/>
  <c r="F13" i="24"/>
  <c r="G13" i="24"/>
  <c r="F14" i="24"/>
  <c r="G14" i="24"/>
  <c r="F15" i="24"/>
  <c r="G15" i="24"/>
  <c r="F16" i="24"/>
  <c r="G16" i="24"/>
  <c r="F17" i="24"/>
  <c r="G17" i="24"/>
  <c r="F18" i="24"/>
  <c r="G18" i="24"/>
  <c r="F19" i="24"/>
  <c r="G19" i="24"/>
  <c r="F20" i="24"/>
  <c r="G20" i="24"/>
  <c r="G144" i="5"/>
  <c r="H144" i="5"/>
  <c r="O144" i="5"/>
  <c r="G143" i="5"/>
  <c r="H143" i="5"/>
  <c r="O143" i="5"/>
  <c r="G142" i="5"/>
  <c r="H142" i="5"/>
  <c r="O142" i="5"/>
  <c r="G141" i="5"/>
  <c r="H141" i="5"/>
  <c r="O141" i="5"/>
  <c r="G140" i="5" l="1"/>
  <c r="H140" i="5"/>
  <c r="O140" i="5"/>
  <c r="G139" i="5"/>
  <c r="H139" i="5"/>
  <c r="O139" i="5"/>
  <c r="G138" i="5"/>
  <c r="H138" i="5"/>
  <c r="O138" i="5"/>
  <c r="G137" i="5"/>
  <c r="H137" i="5"/>
  <c r="O137" i="5"/>
  <c r="ET10" i="22"/>
  <c r="O2" i="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2"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2" i="5"/>
  <c r="DI8" i="22"/>
  <c r="DI9" i="22"/>
  <c r="DI10" i="22"/>
  <c r="DI11" i="22"/>
  <c r="DI12" i="22"/>
  <c r="DJ8" i="22" l="1"/>
  <c r="DJ9" i="22"/>
  <c r="DJ10" i="22"/>
  <c r="DJ11" i="22"/>
  <c r="DJ12" i="22"/>
  <c r="DI7" i="22"/>
  <c r="DJ7" i="22" s="1"/>
  <c r="BB7" i="22"/>
  <c r="AW36" i="22"/>
  <c r="AW37" i="22"/>
  <c r="AW38" i="22"/>
  <c r="AW39" i="22"/>
  <c r="AW40" i="22"/>
  <c r="AW41" i="22"/>
  <c r="AW42" i="22"/>
  <c r="AW43" i="22"/>
  <c r="AW44" i="22"/>
  <c r="AW45" i="22"/>
  <c r="AW46" i="22"/>
  <c r="AW47" i="22"/>
  <c r="AW48" i="22"/>
  <c r="AW49" i="22"/>
  <c r="BB11" i="22" l="1"/>
  <c r="BB15" i="22"/>
  <c r="BB14" i="22"/>
  <c r="BB10" i="22"/>
  <c r="BB13" i="22"/>
  <c r="BB9" i="22"/>
  <c r="BB16" i="22"/>
  <c r="BB12" i="22"/>
  <c r="BB8" i="22"/>
  <c r="DB9" i="22"/>
  <c r="DA10" i="22" s="1" a="1"/>
  <c r="DA10" i="22" s="1"/>
  <c r="DB12" i="22" l="1"/>
  <c r="DB15" i="22" s="1"/>
  <c r="M8" i="23"/>
  <c r="M21" i="23"/>
  <c r="L21" i="23"/>
  <c r="J24" i="23" l="1"/>
  <c r="M9" i="23" l="1"/>
  <c r="M10" i="23"/>
  <c r="M11" i="23"/>
  <c r="M12" i="23"/>
  <c r="M13" i="23"/>
  <c r="M14" i="23"/>
  <c r="M15" i="23"/>
  <c r="M16" i="23"/>
  <c r="M17" i="23"/>
  <c r="M18" i="23"/>
  <c r="M19" i="23"/>
  <c r="M20" i="23"/>
  <c r="AF13" i="21"/>
  <c r="BX9" i="22" l="1"/>
  <c r="BX10" i="22"/>
  <c r="BX11" i="22"/>
  <c r="BX12" i="22"/>
  <c r="BX13" i="22"/>
  <c r="BX14" i="22"/>
  <c r="BX15" i="22"/>
  <c r="BX16" i="22"/>
  <c r="BX17" i="22"/>
  <c r="BX18" i="22"/>
  <c r="BX19" i="22"/>
  <c r="BX8" i="22"/>
  <c r="BV5" i="22" l="1"/>
  <c r="BA8" i="22"/>
  <c r="BA9" i="22" s="1"/>
  <c r="BA10" i="22" s="1"/>
  <c r="BA11" i="22" s="1"/>
  <c r="BA12" i="22" s="1"/>
  <c r="BA13" i="22" s="1"/>
  <c r="BA14" i="22" s="1"/>
  <c r="BA15" i="22" s="1"/>
  <c r="BA16" i="22" s="1"/>
  <c r="AU8" i="22"/>
  <c r="AU9" i="22"/>
  <c r="AU10" i="22"/>
  <c r="AU11" i="22"/>
  <c r="AU12" i="22"/>
  <c r="AU13" i="22"/>
  <c r="AU14" i="22"/>
  <c r="AU15" i="22"/>
  <c r="AU16" i="22"/>
  <c r="AU17" i="22"/>
  <c r="AU18" i="22"/>
  <c r="AU19" i="22"/>
  <c r="AU20" i="22"/>
  <c r="AU21" i="22"/>
  <c r="AU22" i="22"/>
  <c r="AU23" i="22"/>
  <c r="AU24" i="22"/>
  <c r="AU25" i="22"/>
  <c r="AU26" i="22"/>
  <c r="AU27" i="22"/>
  <c r="AU28" i="22"/>
  <c r="AU29" i="22"/>
  <c r="AU30" i="22"/>
  <c r="AU31" i="22"/>
  <c r="AU32" i="22"/>
  <c r="AU33" i="22"/>
  <c r="AU34" i="22"/>
  <c r="AU35" i="22"/>
  <c r="AU36" i="22"/>
  <c r="AU37" i="22"/>
  <c r="AU38" i="22"/>
  <c r="AU39" i="22"/>
  <c r="AU40" i="22"/>
  <c r="AU41" i="22"/>
  <c r="AU42" i="22"/>
  <c r="AU43" i="22"/>
  <c r="AU44" i="22"/>
  <c r="AU45" i="22"/>
  <c r="AU46" i="22"/>
  <c r="AU47" i="22"/>
  <c r="AU48" i="22"/>
  <c r="AU49" i="22"/>
  <c r="AU50" i="22"/>
  <c r="AU51" i="22"/>
  <c r="AU52" i="22"/>
  <c r="AU53" i="22"/>
  <c r="AU54" i="22"/>
  <c r="AU55" i="22"/>
  <c r="AU56" i="22"/>
  <c r="AU57" i="22"/>
  <c r="AU58" i="22"/>
  <c r="AU59" i="22"/>
  <c r="AU60" i="22"/>
  <c r="AU61" i="22"/>
  <c r="AU62" i="22"/>
  <c r="AU63" i="22"/>
  <c r="AU64" i="22"/>
  <c r="AU65" i="22"/>
  <c r="AU66" i="22"/>
  <c r="AU67" i="22"/>
  <c r="AU68" i="22"/>
  <c r="AU69" i="22"/>
  <c r="AU70" i="22"/>
  <c r="AU71" i="22"/>
  <c r="AU72" i="22"/>
  <c r="AU73" i="22"/>
  <c r="AU74" i="22"/>
  <c r="AU75" i="22"/>
  <c r="AU76" i="22"/>
  <c r="AU77" i="22"/>
  <c r="AU78" i="22"/>
  <c r="AU79" i="22"/>
  <c r="AU80" i="22"/>
  <c r="AU81" i="22"/>
  <c r="AU82" i="22"/>
  <c r="AU83" i="22"/>
  <c r="AU84" i="22"/>
  <c r="AU85" i="22"/>
  <c r="AU86" i="22"/>
  <c r="AU87" i="22"/>
  <c r="AU88" i="22"/>
  <c r="AU89" i="22"/>
  <c r="AU90" i="22"/>
  <c r="AU91" i="22"/>
  <c r="AU92" i="22"/>
  <c r="AU93" i="22"/>
  <c r="AU94" i="22"/>
  <c r="AU95" i="22"/>
  <c r="AU96" i="22"/>
  <c r="AU97" i="22"/>
  <c r="AU98" i="22"/>
  <c r="AU99" i="22"/>
  <c r="AU100" i="22"/>
  <c r="AU101" i="22"/>
  <c r="AU102" i="22"/>
  <c r="AU103" i="22"/>
  <c r="AU104" i="22"/>
  <c r="AU105" i="22"/>
  <c r="AU106" i="22"/>
  <c r="AU107" i="22"/>
  <c r="AU108" i="22"/>
  <c r="AU109" i="22"/>
  <c r="AU110" i="22"/>
  <c r="AU111" i="22"/>
  <c r="AU112" i="22"/>
  <c r="AU113" i="22"/>
  <c r="AU114" i="22"/>
  <c r="AU115" i="22"/>
  <c r="AU116" i="22"/>
  <c r="AU117" i="22"/>
  <c r="AU118" i="22"/>
  <c r="AU119" i="22"/>
  <c r="AU120" i="22"/>
  <c r="AU121" i="22"/>
  <c r="AU122" i="22"/>
  <c r="AU123" i="22"/>
  <c r="AU124" i="22"/>
  <c r="AU125" i="22"/>
  <c r="AU126" i="22"/>
  <c r="AU127" i="22"/>
  <c r="AU128" i="22"/>
  <c r="AU129" i="22"/>
  <c r="AU7" i="22"/>
  <c r="L146" i="5" l="1"/>
  <c r="L145" i="5"/>
  <c r="L148" i="5"/>
  <c r="L147" i="5"/>
  <c r="L144" i="5"/>
  <c r="L143" i="5"/>
  <c r="L142" i="5"/>
  <c r="L141" i="5"/>
  <c r="L140" i="5"/>
  <c r="L137" i="5"/>
  <c r="L139" i="5"/>
  <c r="L138" i="5"/>
  <c r="EK5" i="22"/>
  <c r="EL12" i="22" s="1"/>
  <c r="L8" i="5"/>
  <c r="L16" i="5"/>
  <c r="L24" i="5"/>
  <c r="L32" i="5"/>
  <c r="L40" i="5"/>
  <c r="L48" i="5"/>
  <c r="L56" i="5"/>
  <c r="L64" i="5"/>
  <c r="L72" i="5"/>
  <c r="L80" i="5"/>
  <c r="L88" i="5"/>
  <c r="L96" i="5"/>
  <c r="L104" i="5"/>
  <c r="L112" i="5"/>
  <c r="L120" i="5"/>
  <c r="L128" i="5"/>
  <c r="L136" i="5"/>
  <c r="L10" i="5"/>
  <c r="L18" i="5"/>
  <c r="L26" i="5"/>
  <c r="L34" i="5"/>
  <c r="L42" i="5"/>
  <c r="L50" i="5"/>
  <c r="L58" i="5"/>
  <c r="L66" i="5"/>
  <c r="L74" i="5"/>
  <c r="L82" i="5"/>
  <c r="L90" i="5"/>
  <c r="L98" i="5"/>
  <c r="L106" i="5"/>
  <c r="L114" i="5"/>
  <c r="L122" i="5"/>
  <c r="L130" i="5"/>
  <c r="L44" i="5"/>
  <c r="L30" i="5"/>
  <c r="L4" i="5"/>
  <c r="L20" i="5"/>
  <c r="L36" i="5"/>
  <c r="L52" i="5"/>
  <c r="L68" i="5"/>
  <c r="L84" i="5"/>
  <c r="L100" i="5"/>
  <c r="L116" i="5"/>
  <c r="L132" i="5"/>
  <c r="L28" i="5"/>
  <c r="L60" i="5"/>
  <c r="L76" i="5"/>
  <c r="L108" i="5"/>
  <c r="L14" i="5"/>
  <c r="L62" i="5"/>
  <c r="L78" i="5"/>
  <c r="L94" i="5"/>
  <c r="L110" i="5"/>
  <c r="L126" i="5"/>
  <c r="L6" i="5"/>
  <c r="L22" i="5"/>
  <c r="L38" i="5"/>
  <c r="L54" i="5"/>
  <c r="L70" i="5"/>
  <c r="L86" i="5"/>
  <c r="L102" i="5"/>
  <c r="L118" i="5"/>
  <c r="L134" i="5"/>
  <c r="L12" i="5"/>
  <c r="L92" i="5"/>
  <c r="L124" i="5"/>
  <c r="L46" i="5"/>
  <c r="L2" i="5"/>
  <c r="L121" i="5"/>
  <c r="L105" i="5"/>
  <c r="L89" i="5"/>
  <c r="L73" i="5"/>
  <c r="L57" i="5"/>
  <c r="L41" i="5"/>
  <c r="L119" i="5"/>
  <c r="L95" i="5"/>
  <c r="L47" i="5"/>
  <c r="L133" i="5"/>
  <c r="L117" i="5"/>
  <c r="L101" i="5"/>
  <c r="L85" i="5"/>
  <c r="L69" i="5"/>
  <c r="L53" i="5"/>
  <c r="L37" i="5"/>
  <c r="L21" i="5"/>
  <c r="L5" i="5"/>
  <c r="L111" i="5"/>
  <c r="L91" i="5"/>
  <c r="L75" i="5"/>
  <c r="L59" i="5"/>
  <c r="L43" i="5"/>
  <c r="L27" i="5"/>
  <c r="L11" i="5"/>
  <c r="L129" i="5"/>
  <c r="L113" i="5"/>
  <c r="L97" i="5"/>
  <c r="L81" i="5"/>
  <c r="L65" i="5"/>
  <c r="L49" i="5"/>
  <c r="L33" i="5"/>
  <c r="L17" i="5"/>
  <c r="L135" i="5"/>
  <c r="L107" i="5"/>
  <c r="L87" i="5"/>
  <c r="L71" i="5"/>
  <c r="L55" i="5"/>
  <c r="L39" i="5"/>
  <c r="L23" i="5"/>
  <c r="L7" i="5"/>
  <c r="L115" i="5"/>
  <c r="L9" i="5"/>
  <c r="L79" i="5"/>
  <c r="L15" i="5"/>
  <c r="L131" i="5"/>
  <c r="L125" i="5"/>
  <c r="L109" i="5"/>
  <c r="L93" i="5"/>
  <c r="L77" i="5"/>
  <c r="L61" i="5"/>
  <c r="L45" i="5"/>
  <c r="L29" i="5"/>
  <c r="L13" i="5"/>
  <c r="L127" i="5"/>
  <c r="L103" i="5"/>
  <c r="L83" i="5"/>
  <c r="L67" i="5"/>
  <c r="L51" i="5"/>
  <c r="L35" i="5"/>
  <c r="L19" i="5"/>
  <c r="L3" i="5"/>
  <c r="L99" i="5"/>
  <c r="L25" i="5"/>
  <c r="L63" i="5"/>
  <c r="L31" i="5"/>
  <c r="L123" i="5"/>
  <c r="EL8" i="22"/>
  <c r="AX5" i="22"/>
  <c r="AX20" i="22" s="1"/>
  <c r="DQ5" i="22"/>
  <c r="DB6" i="22"/>
  <c r="DD12" i="22" s="1"/>
  <c r="P13" i="22"/>
  <c r="O13" i="22"/>
  <c r="M13" i="22"/>
  <c r="BY9" i="22"/>
  <c r="BY13" i="22"/>
  <c r="BY17" i="22"/>
  <c r="BY16" i="22"/>
  <c r="BY10" i="22"/>
  <c r="BY14" i="22"/>
  <c r="BY18" i="22"/>
  <c r="BY8" i="22"/>
  <c r="BY11" i="22"/>
  <c r="BY15" i="22"/>
  <c r="BY19" i="22"/>
  <c r="BY12" i="22"/>
  <c r="BV12" i="22"/>
  <c r="CV8" i="22"/>
  <c r="CV12" i="22"/>
  <c r="CV16" i="22"/>
  <c r="CU8" i="22"/>
  <c r="CU12" i="22"/>
  <c r="CU16" i="22"/>
  <c r="CV9" i="22"/>
  <c r="CV13" i="22"/>
  <c r="CV17" i="22"/>
  <c r="CU9" i="22"/>
  <c r="CU13" i="22"/>
  <c r="CV10" i="22"/>
  <c r="CV14" i="22"/>
  <c r="CV18" i="22"/>
  <c r="CU10" i="22"/>
  <c r="CU14" i="22"/>
  <c r="CU18" i="22"/>
  <c r="CV11" i="22"/>
  <c r="CV15" i="22"/>
  <c r="CV7" i="22"/>
  <c r="CU11" i="22"/>
  <c r="CU15" i="22"/>
  <c r="CU7" i="22"/>
  <c r="CU17" i="22"/>
  <c r="BZ11" i="22"/>
  <c r="BZ15" i="22"/>
  <c r="BZ19" i="22"/>
  <c r="BZ12" i="22"/>
  <c r="BZ16" i="22"/>
  <c r="BZ8" i="22"/>
  <c r="BZ9" i="22"/>
  <c r="BZ13" i="22"/>
  <c r="BZ17" i="22"/>
  <c r="BZ10" i="22"/>
  <c r="BZ14" i="22"/>
  <c r="BZ18" i="22"/>
  <c r="BV19" i="22"/>
  <c r="BV15" i="22"/>
  <c r="BV14" i="22"/>
  <c r="BV11" i="22"/>
  <c r="BV18" i="22"/>
  <c r="BV10" i="22"/>
  <c r="BV17" i="22"/>
  <c r="BV13" i="22"/>
  <c r="BV9" i="22"/>
  <c r="BV8" i="22"/>
  <c r="BV16" i="22"/>
  <c r="EL9" i="22" l="1"/>
  <c r="EK12" i="22"/>
  <c r="EK8" i="22"/>
  <c r="EL17" i="22"/>
  <c r="EK18" i="22"/>
  <c r="EL11" i="22"/>
  <c r="EK9" i="22"/>
  <c r="EL15" i="22"/>
  <c r="EK13" i="22"/>
  <c r="EK11" i="22"/>
  <c r="EL10" i="22"/>
  <c r="EK14" i="22"/>
  <c r="EK10" i="22"/>
  <c r="EK7" i="22"/>
  <c r="EL13" i="22"/>
  <c r="EL18" i="22"/>
  <c r="EL16" i="22"/>
  <c r="EK17" i="22"/>
  <c r="EK16" i="22"/>
  <c r="EK15" i="22"/>
  <c r="EL7" i="22"/>
  <c r="EL14" i="22"/>
  <c r="AX21" i="22"/>
  <c r="AX26" i="22"/>
  <c r="BC10" i="22"/>
  <c r="AX12" i="22"/>
  <c r="AX31" i="22"/>
  <c r="BD11" i="22"/>
  <c r="AX27" i="22"/>
  <c r="AX10" i="22"/>
  <c r="AX48" i="22"/>
  <c r="AX8" i="22"/>
  <c r="BD15" i="22"/>
  <c r="BC9" i="22"/>
  <c r="AX11" i="22"/>
  <c r="AX41" i="22"/>
  <c r="AX40" i="22"/>
  <c r="BC11" i="22"/>
  <c r="BD16" i="22"/>
  <c r="AX30" i="22"/>
  <c r="AX25" i="22"/>
  <c r="AX32" i="22"/>
  <c r="BC12" i="22"/>
  <c r="BD9" i="22"/>
  <c r="BD8" i="22"/>
  <c r="AX42" i="22"/>
  <c r="AX45" i="22"/>
  <c r="AX9" i="22"/>
  <c r="AX16" i="22"/>
  <c r="BC16" i="22"/>
  <c r="BC14" i="22"/>
  <c r="BD14" i="22"/>
  <c r="AX39" i="22"/>
  <c r="AX46" i="22"/>
  <c r="AX18" i="22"/>
  <c r="AX29" i="22"/>
  <c r="AX47" i="22"/>
  <c r="AX28" i="22"/>
  <c r="AX7" i="22"/>
  <c r="BC15" i="22"/>
  <c r="BD7" i="22"/>
  <c r="BC13" i="22"/>
  <c r="AX43" i="22"/>
  <c r="AX23" i="22"/>
  <c r="AX34" i="22"/>
  <c r="AX14" i="22"/>
  <c r="AX37" i="22"/>
  <c r="AX13" i="22"/>
  <c r="AX44" i="22"/>
  <c r="AX24" i="22"/>
  <c r="BC8" i="22"/>
  <c r="BD10" i="22"/>
  <c r="BD13" i="22"/>
  <c r="BC7" i="22"/>
  <c r="BD12" i="22"/>
  <c r="AX35" i="22"/>
  <c r="AX19" i="22"/>
  <c r="AX38" i="22"/>
  <c r="AX22" i="22"/>
  <c r="AX49" i="22"/>
  <c r="AX33" i="22"/>
  <c r="AX17" i="22"/>
  <c r="AX15" i="22"/>
  <c r="AX36" i="22"/>
  <c r="DQ8" i="22"/>
  <c r="DQ12" i="22"/>
  <c r="DQ16" i="22"/>
  <c r="DZ15" i="22"/>
  <c r="DZ7" i="22"/>
  <c r="DZ11" i="22"/>
  <c r="EE6" i="22"/>
  <c r="DQ15" i="22"/>
  <c r="DZ18" i="22"/>
  <c r="DQ9" i="22"/>
  <c r="DQ13" i="22"/>
  <c r="DQ17" i="22"/>
  <c r="DZ12" i="22"/>
  <c r="DZ16" i="22"/>
  <c r="DZ8" i="22"/>
  <c r="DQ7" i="22"/>
  <c r="DR7" i="22" s="1"/>
  <c r="DQ10" i="22"/>
  <c r="DQ14" i="22"/>
  <c r="DQ18" i="22"/>
  <c r="DZ13" i="22"/>
  <c r="DZ17" i="22"/>
  <c r="DZ9" i="22"/>
  <c r="DV6" i="22"/>
  <c r="DQ11" i="22"/>
  <c r="DZ14" i="22"/>
  <c r="DZ10" i="22"/>
  <c r="DS5" i="22"/>
  <c r="DA7" i="22" a="1"/>
  <c r="DA7" i="22" s="1"/>
  <c r="DD15" i="22"/>
  <c r="DA13" i="22" a="1"/>
  <c r="DA13" i="22" s="1"/>
  <c r="U8" i="22"/>
  <c r="O9" i="22"/>
  <c r="CO10" i="22"/>
  <c r="CP10" i="22" s="1"/>
  <c r="CO11" i="22"/>
  <c r="CP11" i="22" s="1"/>
  <c r="CO12" i="22"/>
  <c r="CP12" i="22" s="1"/>
  <c r="CO13" i="22"/>
  <c r="CP13" i="22" s="1"/>
  <c r="CO14" i="22"/>
  <c r="CP14" i="22" s="1"/>
  <c r="CO15" i="22"/>
  <c r="CP15" i="22" s="1"/>
  <c r="CO16" i="22"/>
  <c r="CP16" i="22" s="1"/>
  <c r="CO17" i="22"/>
  <c r="CP17" i="22" s="1"/>
  <c r="CO18" i="22"/>
  <c r="CP18" i="22" s="1"/>
  <c r="CO19" i="22"/>
  <c r="CP19" i="22" s="1"/>
  <c r="CO20" i="22"/>
  <c r="CP20" i="22" s="1"/>
  <c r="CO21" i="22"/>
  <c r="CP21" i="22" s="1"/>
  <c r="CO22" i="22"/>
  <c r="CP22" i="22" s="1"/>
  <c r="CO23" i="22"/>
  <c r="CP23" i="22" s="1"/>
  <c r="CO24" i="22"/>
  <c r="CP24" i="22" s="1"/>
  <c r="CO25" i="22"/>
  <c r="CP25" i="22" s="1"/>
  <c r="CO26" i="22"/>
  <c r="CP26" i="22" s="1"/>
  <c r="CO27" i="22"/>
  <c r="CP27" i="22" s="1"/>
  <c r="CO28" i="22"/>
  <c r="CP28" i="22" s="1"/>
  <c r="CO29" i="22"/>
  <c r="CP29" i="22" s="1"/>
  <c r="CO30" i="22"/>
  <c r="CP30" i="22" s="1"/>
  <c r="CO9" i="22"/>
  <c r="AK7" i="22"/>
  <c r="EM7" i="22" l="1"/>
  <c r="BE10" i="22"/>
  <c r="EP17" i="22"/>
  <c r="EM13" i="22"/>
  <c r="EP9" i="22"/>
  <c r="EP8" i="22"/>
  <c r="EP11" i="22"/>
  <c r="EM17" i="22"/>
  <c r="EM15" i="22"/>
  <c r="EM8" i="22"/>
  <c r="EP15" i="22"/>
  <c r="EM9" i="22"/>
  <c r="EP10" i="22"/>
  <c r="EP12" i="22"/>
  <c r="EM14" i="22"/>
  <c r="EM18" i="22"/>
  <c r="EM11" i="22"/>
  <c r="EM12" i="22"/>
  <c r="EN5" i="22"/>
  <c r="EP16" i="22"/>
  <c r="EP14" i="22"/>
  <c r="EP13" i="22"/>
  <c r="EQ5" i="22"/>
  <c r="EM16" i="22"/>
  <c r="EM10" i="22"/>
  <c r="EP7" i="22"/>
  <c r="EP18" i="22"/>
  <c r="ER18" i="22" s="1"/>
  <c r="BE11" i="22"/>
  <c r="BE9" i="22"/>
  <c r="BE12" i="22"/>
  <c r="BE16" i="22"/>
  <c r="BE14" i="22"/>
  <c r="BE13" i="22"/>
  <c r="BE15" i="22"/>
  <c r="BE8" i="22"/>
  <c r="EA7" i="22"/>
  <c r="EE7" i="22" s="1"/>
  <c r="BE7" i="22"/>
  <c r="DV7" i="22"/>
  <c r="DR8" i="22"/>
  <c r="DV8" i="22" s="1"/>
  <c r="EF6" i="22"/>
  <c r="DW6" i="22"/>
  <c r="EB11" i="22"/>
  <c r="EB15" i="22"/>
  <c r="EB7" i="22"/>
  <c r="EC7" i="22" s="1"/>
  <c r="DS8" i="22"/>
  <c r="DS12" i="22"/>
  <c r="DS16" i="22"/>
  <c r="EB8" i="22"/>
  <c r="EB12" i="22"/>
  <c r="EB16" i="22"/>
  <c r="DS9" i="22"/>
  <c r="DS13" i="22"/>
  <c r="DS17" i="22"/>
  <c r="EB9" i="22"/>
  <c r="EB13" i="22"/>
  <c r="EB17" i="22"/>
  <c r="DS10" i="22"/>
  <c r="DS14" i="22"/>
  <c r="DS18" i="22"/>
  <c r="EB10" i="22"/>
  <c r="EB14" i="22"/>
  <c r="EB18" i="22"/>
  <c r="DS11" i="22"/>
  <c r="DS15" i="22"/>
  <c r="DS7" i="22"/>
  <c r="DT7" i="22" s="1"/>
  <c r="CO5" i="22"/>
  <c r="DB19" i="22" a="1"/>
  <c r="DB19" i="22" s="1"/>
  <c r="DB22" i="22" a="1"/>
  <c r="DB22" i="22" s="1"/>
  <c r="DB23" i="22" a="1"/>
  <c r="DB23" i="22" s="1"/>
  <c r="DB28" i="22" a="1"/>
  <c r="DB28" i="22" s="1"/>
  <c r="DB18" i="22" a="1"/>
  <c r="DB18" i="22" s="1"/>
  <c r="DB24" i="22" a="1"/>
  <c r="DB24" i="22" s="1"/>
  <c r="DB25" i="22" a="1"/>
  <c r="DB25" i="22" s="1"/>
  <c r="DB17" i="22" a="1"/>
  <c r="DB17" i="22" s="1"/>
  <c r="DB27" i="22" a="1"/>
  <c r="DB27" i="22" s="1"/>
  <c r="DB26" i="22" a="1"/>
  <c r="DB26" i="22" s="1"/>
  <c r="DB20" i="22" a="1"/>
  <c r="DB20" i="22" s="1"/>
  <c r="DB21" i="22" a="1"/>
  <c r="DB21" i="22" s="1"/>
  <c r="CP9" i="22"/>
  <c r="AA24" i="21" s="1"/>
  <c r="AF26" i="21"/>
  <c r="AA13" i="21"/>
  <c r="AA26" i="21"/>
  <c r="EO7" i="22" l="1"/>
  <c r="ER10" i="22"/>
  <c r="EO9" i="22"/>
  <c r="EN18" i="22"/>
  <c r="EQ15" i="22"/>
  <c r="EN17" i="22"/>
  <c r="EQ14" i="22"/>
  <c r="ER14" i="22"/>
  <c r="ER15" i="22"/>
  <c r="EO14" i="22"/>
  <c r="EO18" i="22"/>
  <c r="EN9" i="22"/>
  <c r="EQ11" i="22"/>
  <c r="ER7" i="22"/>
  <c r="EQ18" i="22"/>
  <c r="EQ10" i="22"/>
  <c r="EO17" i="22"/>
  <c r="EN14" i="22"/>
  <c r="EN7" i="22"/>
  <c r="EQ13" i="22"/>
  <c r="EO12" i="22"/>
  <c r="ER12" i="22"/>
  <c r="ER13" i="22"/>
  <c r="EN12" i="22"/>
  <c r="EQ17" i="22"/>
  <c r="EQ9" i="22"/>
  <c r="EN13" i="22"/>
  <c r="EQ12" i="22"/>
  <c r="EQ7" i="22"/>
  <c r="EN16" i="22"/>
  <c r="EQ8" i="22"/>
  <c r="EN8" i="22"/>
  <c r="EN15" i="22"/>
  <c r="EO10" i="22"/>
  <c r="EO11" i="22"/>
  <c r="ER17" i="22"/>
  <c r="ER9" i="22"/>
  <c r="EO13" i="22"/>
  <c r="EO16" i="22"/>
  <c r="ER8" i="22"/>
  <c r="EO8" i="22"/>
  <c r="EO15" i="22"/>
  <c r="ER16" i="22"/>
  <c r="ER11" i="22"/>
  <c r="EQ16" i="22"/>
  <c r="EN11" i="22"/>
  <c r="EN10" i="22"/>
  <c r="EA8" i="22"/>
  <c r="EE8" i="22" s="1"/>
  <c r="DR9" i="22"/>
  <c r="DV9" i="22" s="1"/>
  <c r="ED7" i="22"/>
  <c r="EF7" i="22"/>
  <c r="EG7" i="22" s="1"/>
  <c r="DT8" i="22"/>
  <c r="DW8" i="22" s="1"/>
  <c r="DX8" i="22" s="1"/>
  <c r="DW7" i="22"/>
  <c r="DX7" i="22" s="1"/>
  <c r="EC8" i="22"/>
  <c r="DU7" i="22"/>
  <c r="AF24" i="21"/>
  <c r="AF28" i="21" s="1"/>
  <c r="EA9" i="22" l="1"/>
  <c r="EE9" i="22" s="1"/>
  <c r="DU8" i="22"/>
  <c r="DT9" i="22"/>
  <c r="DT10" i="22" s="1"/>
  <c r="DR10" i="22"/>
  <c r="DV10" i="22" s="1"/>
  <c r="EC9" i="22"/>
  <c r="EF8" i="22"/>
  <c r="EG8" i="22" s="1"/>
  <c r="ED8" i="22"/>
  <c r="BR9" i="22"/>
  <c r="BM9" i="22"/>
  <c r="V8" i="22"/>
  <c r="AL7" i="22"/>
  <c r="L19" i="21"/>
  <c r="J11" i="20"/>
  <c r="F8" i="22"/>
  <c r="F9" i="22"/>
  <c r="F10" i="22"/>
  <c r="F7" i="22"/>
  <c r="DW9" i="22" l="1"/>
  <c r="DX9" i="22" s="1"/>
  <c r="EA10" i="22"/>
  <c r="EE10" i="22" s="1"/>
  <c r="DU9" i="22"/>
  <c r="DR11" i="22"/>
  <c r="DV11" i="22" s="1"/>
  <c r="EC10" i="22"/>
  <c r="EF9" i="22"/>
  <c r="EG9" i="22" s="1"/>
  <c r="DT11" i="22"/>
  <c r="DW10" i="22"/>
  <c r="DX10" i="22" s="1"/>
  <c r="DU10" i="22"/>
  <c r="ED9" i="22"/>
  <c r="L13" i="22"/>
  <c r="BU18" i="22"/>
  <c r="BU10" i="22"/>
  <c r="BU16" i="22"/>
  <c r="BU17" i="22"/>
  <c r="BU12" i="22"/>
  <c r="BU14" i="22"/>
  <c r="BU11" i="22"/>
  <c r="BU15" i="22"/>
  <c r="BU19" i="22"/>
  <c r="BU9" i="22"/>
  <c r="BU8" i="22"/>
  <c r="BU13" i="22"/>
  <c r="BW8" i="22"/>
  <c r="L3" i="20"/>
  <c r="N3" i="20" s="1"/>
  <c r="K3" i="20"/>
  <c r="DR12" i="22" l="1"/>
  <c r="DV12" i="22" s="1"/>
  <c r="EA11" i="22"/>
  <c r="EE11" i="22" s="1"/>
  <c r="ED10" i="22"/>
  <c r="DU11" i="22"/>
  <c r="CA8" i="22"/>
  <c r="BW9" i="22"/>
  <c r="CA9" i="22" s="1"/>
  <c r="DT12" i="22"/>
  <c r="DW11" i="22"/>
  <c r="DX11" i="22" s="1"/>
  <c r="EC11" i="22"/>
  <c r="EF10" i="22"/>
  <c r="EG10" i="22" s="1"/>
  <c r="M3" i="20"/>
  <c r="BW19" i="22"/>
  <c r="CA19" i="22" s="1"/>
  <c r="BW15" i="22"/>
  <c r="CA15" i="22" s="1"/>
  <c r="BW11" i="22"/>
  <c r="CA11" i="22" s="1"/>
  <c r="BW12" i="22"/>
  <c r="CA12" i="22" s="1"/>
  <c r="BW18" i="22"/>
  <c r="CA18" i="22" s="1"/>
  <c r="BW14" i="22"/>
  <c r="CA14" i="22" s="1"/>
  <c r="BW16" i="22"/>
  <c r="CA16" i="22" s="1"/>
  <c r="BW17" i="22"/>
  <c r="CA17" i="22" s="1"/>
  <c r="BW13" i="22"/>
  <c r="CA13" i="22" s="1"/>
  <c r="BW10" i="22"/>
  <c r="CA10" i="22" s="1"/>
  <c r="K9" i="20"/>
  <c r="N9" i="20" s="1"/>
  <c r="O9" i="20" s="1"/>
  <c r="J5" i="20"/>
  <c r="N26" i="20"/>
  <c r="O26" i="20" s="1"/>
  <c r="N25" i="20"/>
  <c r="O25" i="20" s="1"/>
  <c r="N23" i="20"/>
  <c r="O23" i="20" s="1"/>
  <c r="M16" i="20"/>
  <c r="J17" i="20" s="1"/>
  <c r="O15" i="20"/>
  <c r="N14" i="20"/>
  <c r="O14" i="20" s="1"/>
  <c r="M14" i="20"/>
  <c r="J14" i="20" s="1"/>
  <c r="L12" i="20"/>
  <c r="N12" i="20" s="1"/>
  <c r="O12" i="20" s="1"/>
  <c r="N11" i="20"/>
  <c r="O11" i="20" s="1"/>
  <c r="N7" i="20"/>
  <c r="O7" i="20" s="1"/>
  <c r="M29" i="20"/>
  <c r="C11" i="19"/>
  <c r="C17" i="19" s="1"/>
  <c r="O38" i="20"/>
  <c r="N31" i="20"/>
  <c r="O31" i="20" s="1"/>
  <c r="L31" i="20"/>
  <c r="M31" i="20" s="1"/>
  <c r="J32" i="20" s="1"/>
  <c r="N46" i="20"/>
  <c r="O46" i="20" s="1"/>
  <c r="L46" i="20"/>
  <c r="M46" i="20" s="1"/>
  <c r="J46" i="20" s="1"/>
  <c r="N44" i="20"/>
  <c r="O44" i="20" s="1"/>
  <c r="L44" i="20"/>
  <c r="M44" i="20" s="1"/>
  <c r="J44" i="20" s="1"/>
  <c r="L42" i="20"/>
  <c r="M42" i="20" s="1"/>
  <c r="J42" i="20" s="1"/>
  <c r="N42" i="20"/>
  <c r="O42" i="20" s="1"/>
  <c r="N41" i="20"/>
  <c r="O41" i="20" s="1"/>
  <c r="L41" i="20"/>
  <c r="M41" i="20" s="1"/>
  <c r="J41" i="20" s="1"/>
  <c r="N37" i="20"/>
  <c r="O37" i="20" s="1"/>
  <c r="L37" i="20"/>
  <c r="M37" i="20" s="1"/>
  <c r="J37" i="20" s="1"/>
  <c r="M28" i="20"/>
  <c r="M26" i="20"/>
  <c r="J26" i="20" s="1"/>
  <c r="M25" i="20"/>
  <c r="M23" i="20"/>
  <c r="O22" i="20"/>
  <c r="L22" i="20"/>
  <c r="M22" i="20" s="1"/>
  <c r="J22" i="20" s="1"/>
  <c r="K16" i="20"/>
  <c r="N16" i="20" s="1"/>
  <c r="M9" i="20"/>
  <c r="J9" i="20" s="1"/>
  <c r="L8" i="20"/>
  <c r="M8" i="20" s="1"/>
  <c r="J8" i="20" s="1"/>
  <c r="M7" i="20"/>
  <c r="F16" i="19"/>
  <c r="G16" i="19" s="1"/>
  <c r="D16" i="19"/>
  <c r="E16" i="19" s="1"/>
  <c r="F15" i="19"/>
  <c r="G15" i="19" s="1"/>
  <c r="D15" i="19"/>
  <c r="E15" i="19" s="1"/>
  <c r="F14" i="19"/>
  <c r="G14" i="19" s="1"/>
  <c r="D14" i="19"/>
  <c r="E14" i="19" s="1"/>
  <c r="F13" i="19"/>
  <c r="G13" i="19" s="1"/>
  <c r="D13" i="19"/>
  <c r="E13" i="19" s="1"/>
  <c r="F12" i="19"/>
  <c r="G12" i="19" s="1"/>
  <c r="D12" i="19"/>
  <c r="E12" i="19" s="1"/>
  <c r="D11" i="19"/>
  <c r="E11" i="19" s="1"/>
  <c r="F10" i="19"/>
  <c r="G10" i="19" s="1"/>
  <c r="D10" i="19"/>
  <c r="E10" i="19" s="1"/>
  <c r="F9" i="19"/>
  <c r="G9" i="19" s="1"/>
  <c r="D9" i="19"/>
  <c r="E9" i="19" s="1"/>
  <c r="F8" i="19"/>
  <c r="G8" i="19" s="1"/>
  <c r="D8" i="19"/>
  <c r="E8" i="19" s="1"/>
  <c r="F7" i="19"/>
  <c r="G7" i="19" s="1"/>
  <c r="D7" i="19"/>
  <c r="E7" i="19" s="1"/>
  <c r="F6" i="19"/>
  <c r="G6" i="19" s="1"/>
  <c r="D6" i="19"/>
  <c r="E6" i="19" s="1"/>
  <c r="F5" i="19"/>
  <c r="G5" i="19" s="1"/>
  <c r="D5" i="19"/>
  <c r="E5" i="19" s="1"/>
  <c r="F4" i="19"/>
  <c r="G4" i="19" s="1"/>
  <c r="D4" i="19"/>
  <c r="E4" i="19" s="1"/>
  <c r="F3" i="19"/>
  <c r="G3" i="19" s="1"/>
  <c r="D3" i="19"/>
  <c r="E3" i="19" s="1"/>
  <c r="E17" i="19" s="1"/>
  <c r="EA12" i="22" l="1"/>
  <c r="EA13" i="22" s="1"/>
  <c r="DR13" i="22"/>
  <c r="DV13" i="22" s="1"/>
  <c r="DU12" i="22"/>
  <c r="ED11" i="22"/>
  <c r="EF11" i="22"/>
  <c r="EG11" i="22" s="1"/>
  <c r="EC12" i="22"/>
  <c r="DT13" i="22"/>
  <c r="DW12" i="22"/>
  <c r="DX12" i="22" s="1"/>
  <c r="D17" i="19"/>
  <c r="O3" i="20"/>
  <c r="M12" i="20"/>
  <c r="N8" i="20"/>
  <c r="O8" i="20" s="1"/>
  <c r="O16" i="20"/>
  <c r="F11" i="19"/>
  <c r="G11" i="19" s="1"/>
  <c r="G17" i="19" s="1"/>
  <c r="EE12" i="22" l="1"/>
  <c r="ED12" i="22"/>
  <c r="DR14" i="22"/>
  <c r="DV14" i="22" s="1"/>
  <c r="DT14" i="22"/>
  <c r="DW13" i="22"/>
  <c r="DX13" i="22" s="1"/>
  <c r="EF12" i="22"/>
  <c r="EC13" i="22"/>
  <c r="ED13" i="22" s="1"/>
  <c r="DU13" i="22"/>
  <c r="EE13" i="22"/>
  <c r="EA14" i="22"/>
  <c r="F17" i="19"/>
  <c r="G6" i="18"/>
  <c r="DR15" i="22" l="1"/>
  <c r="DV15" i="22" s="1"/>
  <c r="EG12" i="22"/>
  <c r="DU14" i="22"/>
  <c r="EE14" i="22"/>
  <c r="EA15" i="22"/>
  <c r="DR16" i="22"/>
  <c r="DT15" i="22"/>
  <c r="DW14" i="22"/>
  <c r="DX14" i="22" s="1"/>
  <c r="EF13" i="22"/>
  <c r="EG13" i="22" s="1"/>
  <c r="EC14" i="22"/>
  <c r="H6" i="18"/>
  <c r="G2" i="18"/>
  <c r="G11" i="18"/>
  <c r="H11" i="18" s="1"/>
  <c r="G41" i="18"/>
  <c r="H41" i="18" s="1"/>
  <c r="G35" i="18"/>
  <c r="H35" i="18" s="1"/>
  <c r="G24" i="18"/>
  <c r="H24" i="18" s="1"/>
  <c r="G18" i="18"/>
  <c r="H18" i="18" s="1"/>
  <c r="G12" i="18"/>
  <c r="H12" i="18" s="1"/>
  <c r="G40" i="18"/>
  <c r="H40" i="18" s="1"/>
  <c r="G34" i="18"/>
  <c r="H34" i="18" s="1"/>
  <c r="G29" i="18"/>
  <c r="H29" i="18" s="1"/>
  <c r="G23" i="18"/>
  <c r="H23" i="18" s="1"/>
  <c r="G17" i="18"/>
  <c r="H17" i="18" s="1"/>
  <c r="G45" i="18"/>
  <c r="H45" i="18" s="1"/>
  <c r="G39" i="18"/>
  <c r="H39" i="18" s="1"/>
  <c r="G33" i="18"/>
  <c r="H33" i="18" s="1"/>
  <c r="G28" i="18"/>
  <c r="H28" i="18" s="1"/>
  <c r="G22" i="18"/>
  <c r="H22" i="18" s="1"/>
  <c r="G16" i="18"/>
  <c r="H16" i="18" s="1"/>
  <c r="G10" i="18"/>
  <c r="H10" i="18" s="1"/>
  <c r="G5" i="18"/>
  <c r="G44" i="18"/>
  <c r="H44" i="18" s="1"/>
  <c r="G38" i="18"/>
  <c r="H38" i="18" s="1"/>
  <c r="G32" i="18"/>
  <c r="H32" i="18" s="1"/>
  <c r="G27" i="18"/>
  <c r="H27" i="18" s="1"/>
  <c r="G21" i="18"/>
  <c r="H21" i="18" s="1"/>
  <c r="G15" i="18"/>
  <c r="H15" i="18" s="1"/>
  <c r="G9" i="18"/>
  <c r="H9" i="18" s="1"/>
  <c r="G4" i="18"/>
  <c r="G43" i="18"/>
  <c r="H43" i="18" s="1"/>
  <c r="G37" i="18"/>
  <c r="H37" i="18" s="1"/>
  <c r="G31" i="18"/>
  <c r="H31" i="18" s="1"/>
  <c r="G26" i="18"/>
  <c r="H26" i="18" s="1"/>
  <c r="G20" i="18"/>
  <c r="H20" i="18" s="1"/>
  <c r="G14" i="18"/>
  <c r="H14" i="18" s="1"/>
  <c r="G8" i="18"/>
  <c r="H8" i="18" s="1"/>
  <c r="G3" i="18"/>
  <c r="H3" i="18" s="1"/>
  <c r="J3" i="18" s="1"/>
  <c r="G42" i="18"/>
  <c r="H42" i="18" s="1"/>
  <c r="G36" i="18"/>
  <c r="H36" i="18" s="1"/>
  <c r="G30" i="18"/>
  <c r="H30" i="18" s="1"/>
  <c r="G25" i="18"/>
  <c r="H25" i="18" s="1"/>
  <c r="G19" i="18"/>
  <c r="H19" i="18" s="1"/>
  <c r="G13" i="18"/>
  <c r="H13" i="18" s="1"/>
  <c r="G7" i="18"/>
  <c r="H7" i="18" s="1"/>
  <c r="DU15" i="22" l="1"/>
  <c r="EF14" i="22"/>
  <c r="EG14" i="22" s="1"/>
  <c r="EC15" i="22"/>
  <c r="ED15" i="22" s="1"/>
  <c r="ED14" i="22"/>
  <c r="EA16" i="22"/>
  <c r="EE15" i="22"/>
  <c r="DT16" i="22"/>
  <c r="DU16" i="22" s="1"/>
  <c r="DW15" i="22"/>
  <c r="DX15" i="22" s="1"/>
  <c r="DV16" i="22"/>
  <c r="DR17" i="22"/>
  <c r="H5" i="18"/>
  <c r="H9" i="22"/>
  <c r="H10" i="22"/>
  <c r="H4" i="18"/>
  <c r="H8" i="22"/>
  <c r="H7" i="22"/>
  <c r="G10" i="22"/>
  <c r="I10" i="22" s="1"/>
  <c r="H2" i="18"/>
  <c r="DT17" i="22" l="1"/>
  <c r="DU17" i="22" s="1"/>
  <c r="DW16" i="22"/>
  <c r="DX16" i="22" s="1"/>
  <c r="DV17" i="22"/>
  <c r="DR18" i="22"/>
  <c r="DV18" i="22" s="1"/>
  <c r="EF15" i="22"/>
  <c r="EG15" i="22" s="1"/>
  <c r="EC16" i="22"/>
  <c r="EE16" i="22"/>
  <c r="EA17" i="22"/>
  <c r="J2" i="18"/>
  <c r="G7" i="22"/>
  <c r="I7" i="22" s="1"/>
  <c r="J4" i="18"/>
  <c r="G8" i="22"/>
  <c r="I8" i="22" s="1"/>
  <c r="J5" i="18"/>
  <c r="G9" i="22"/>
  <c r="I9" i="22" s="1"/>
  <c r="EF16" i="22" l="1"/>
  <c r="EG16" i="22" s="1"/>
  <c r="EC17" i="22"/>
  <c r="ED16" i="22"/>
  <c r="EE17" i="22"/>
  <c r="EA18" i="22"/>
  <c r="EE18" i="22" s="1"/>
  <c r="DT18" i="22"/>
  <c r="DW17" i="22"/>
  <c r="DX17" i="22" s="1"/>
  <c r="U18" i="21"/>
  <c r="M18" i="21"/>
  <c r="EF17" i="22" l="1"/>
  <c r="EG17" i="22" s="1"/>
  <c r="EC18" i="22"/>
  <c r="DU18" i="22"/>
  <c r="DW18" i="22"/>
  <c r="DX18" i="22" s="1"/>
  <c r="ED17" i="22"/>
  <c r="M19" i="21"/>
  <c r="U19" i="21"/>
  <c r="ED18" i="22" l="1"/>
  <c r="EF18" i="22"/>
  <c r="EG18" i="22" s="1"/>
  <c r="T18" i="21"/>
  <c r="R18" i="21"/>
  <c r="O18" i="21"/>
  <c r="S18" i="21" a="1"/>
  <c r="S18" i="21" s="1"/>
  <c r="P18" i="21"/>
  <c r="N18" i="21"/>
  <c r="Q18" i="21"/>
  <c r="L20" i="21"/>
  <c r="L21" i="21" l="1"/>
  <c r="U20" i="21"/>
  <c r="M20" i="21"/>
  <c r="V18" i="21"/>
  <c r="W18" i="21"/>
  <c r="P19" i="21"/>
  <c r="S19" i="21" a="1"/>
  <c r="S19" i="21" s="1"/>
  <c r="O19" i="21"/>
  <c r="Q19" i="21"/>
  <c r="R19" i="21"/>
  <c r="W19" i="21" s="1"/>
  <c r="N19" i="21"/>
  <c r="T19" i="21"/>
  <c r="V19" i="21" l="1"/>
  <c r="P20" i="21"/>
  <c r="N20" i="21"/>
  <c r="T20" i="21"/>
  <c r="Q20" i="21"/>
  <c r="O20" i="21"/>
  <c r="R20" i="21"/>
  <c r="V20" i="21" s="1"/>
  <c r="S20" i="21" a="1"/>
  <c r="S20" i="21" s="1"/>
  <c r="L22" i="21"/>
  <c r="M21" i="21"/>
  <c r="U21" i="21"/>
  <c r="W20" i="21" l="1"/>
  <c r="T21" i="21"/>
  <c r="O21" i="21"/>
  <c r="P21" i="21"/>
  <c r="R21" i="21"/>
  <c r="V21" i="21" s="1"/>
  <c r="N21" i="21"/>
  <c r="S21" i="21" a="1"/>
  <c r="S21" i="21" s="1"/>
  <c r="Q21" i="21"/>
  <c r="L23" i="21"/>
  <c r="M22" i="21"/>
  <c r="U22" i="21"/>
  <c r="T22" i="21" l="1"/>
  <c r="R22" i="21"/>
  <c r="V22" i="21" s="1"/>
  <c r="O22" i="21"/>
  <c r="N22" i="21"/>
  <c r="S22" i="21" a="1"/>
  <c r="S22" i="21" s="1"/>
  <c r="Q22" i="21"/>
  <c r="P22" i="21"/>
  <c r="L24" i="21"/>
  <c r="U23" i="21"/>
  <c r="M23" i="21"/>
  <c r="W21" i="21"/>
  <c r="R23" i="21" l="1"/>
  <c r="V23" i="21" s="1"/>
  <c r="O23" i="21"/>
  <c r="N23" i="21"/>
  <c r="Q23" i="21"/>
  <c r="P23" i="21"/>
  <c r="T23" i="21"/>
  <c r="S23" i="21" a="1"/>
  <c r="S23" i="21" s="1"/>
  <c r="L25" i="21"/>
  <c r="M24" i="21"/>
  <c r="U24" i="21"/>
  <c r="W22" i="21"/>
  <c r="W23" i="21" l="1"/>
  <c r="R24" i="21"/>
  <c r="V24" i="21" s="1"/>
  <c r="T24" i="21"/>
  <c r="N24" i="21"/>
  <c r="O24" i="21"/>
  <c r="Q24" i="21"/>
  <c r="S24" i="21" a="1"/>
  <c r="S24" i="21" s="1"/>
  <c r="P24" i="21"/>
  <c r="L26" i="21"/>
  <c r="U25" i="21"/>
  <c r="M25" i="21"/>
  <c r="Q25" i="21" l="1"/>
  <c r="S25" i="21" a="1"/>
  <c r="S25" i="21" s="1"/>
  <c r="N25" i="21"/>
  <c r="R25" i="21"/>
  <c r="V25" i="21" s="1"/>
  <c r="T25" i="21"/>
  <c r="O25" i="21"/>
  <c r="P25" i="21"/>
  <c r="L27" i="21"/>
  <c r="U26" i="21"/>
  <c r="M26" i="21"/>
  <c r="W24" i="21"/>
  <c r="M27" i="21" l="1"/>
  <c r="U27" i="21"/>
  <c r="L28" i="21"/>
  <c r="T26" i="21"/>
  <c r="P26" i="21"/>
  <c r="S26" i="21" a="1"/>
  <c r="S26" i="21" s="1"/>
  <c r="Q26" i="21"/>
  <c r="N26" i="21"/>
  <c r="R26" i="21"/>
  <c r="V26" i="21" s="1"/>
  <c r="O26" i="21"/>
  <c r="W25" i="21"/>
  <c r="AA28" i="21" s="1"/>
  <c r="U28" i="21" l="1"/>
  <c r="M28" i="21"/>
  <c r="L29" i="21"/>
  <c r="T27" i="21"/>
  <c r="S27" i="21" a="1"/>
  <c r="S27" i="21" s="1"/>
  <c r="Q27" i="21"/>
  <c r="N27" i="21"/>
  <c r="R27" i="21"/>
  <c r="V27" i="21" s="1"/>
  <c r="O27" i="21"/>
  <c r="P27" i="21"/>
  <c r="W26" i="21"/>
  <c r="W27" i="21" l="1"/>
  <c r="M29" i="21"/>
  <c r="U29" i="21"/>
  <c r="L30" i="21"/>
  <c r="S28" i="21" a="1"/>
  <c r="S28" i="21" s="1"/>
  <c r="R28" i="21"/>
  <c r="V28" i="21" s="1"/>
  <c r="P28" i="21"/>
  <c r="O28" i="21"/>
  <c r="T28" i="21"/>
  <c r="Q28" i="21"/>
  <c r="N28" i="21"/>
  <c r="W28" i="21" l="1"/>
  <c r="U30" i="21"/>
  <c r="M30" i="21"/>
  <c r="L31" i="21"/>
  <c r="O29" i="21"/>
  <c r="S29" i="21" a="1"/>
  <c r="S29" i="21" s="1"/>
  <c r="P29" i="21"/>
  <c r="N29" i="21"/>
  <c r="R29" i="21"/>
  <c r="V29" i="21" s="1"/>
  <c r="Q29" i="21"/>
  <c r="T29" i="21"/>
  <c r="W29" i="21" l="1"/>
  <c r="L32" i="21"/>
  <c r="M31" i="21"/>
  <c r="U31" i="21"/>
  <c r="S30" i="21" a="1"/>
  <c r="S30" i="21" s="1"/>
  <c r="N30" i="21"/>
  <c r="O30" i="21"/>
  <c r="P30" i="21"/>
  <c r="R30" i="21"/>
  <c r="V30" i="21" s="1"/>
  <c r="T30" i="21"/>
  <c r="Q30" i="21"/>
  <c r="W30" i="21" l="1"/>
  <c r="S31" i="21" a="1"/>
  <c r="S31" i="21" s="1"/>
  <c r="T31" i="21"/>
  <c r="P31" i="21"/>
  <c r="O31" i="21"/>
  <c r="R31" i="21"/>
  <c r="V31" i="21" s="1"/>
  <c r="Q31" i="21"/>
  <c r="N31" i="21"/>
  <c r="U32" i="21"/>
  <c r="L33" i="21"/>
  <c r="L34" i="21" s="1"/>
  <c r="M32" i="21"/>
  <c r="M34" i="21" l="1"/>
  <c r="L35" i="21"/>
  <c r="U34" i="21"/>
  <c r="S32" i="21" a="1"/>
  <c r="S32" i="21" s="1"/>
  <c r="N32" i="21"/>
  <c r="R32" i="21"/>
  <c r="V32" i="21" s="1"/>
  <c r="O32" i="21"/>
  <c r="Q32" i="21"/>
  <c r="P32" i="21"/>
  <c r="T32" i="21"/>
  <c r="U33" i="21"/>
  <c r="M33" i="21"/>
  <c r="W31" i="21"/>
  <c r="M35" i="21" l="1"/>
  <c r="U35" i="21"/>
  <c r="L36" i="21"/>
  <c r="P34" i="21"/>
  <c r="R34" i="21"/>
  <c r="V34" i="21" s="1"/>
  <c r="N34" i="21"/>
  <c r="Q34" i="21"/>
  <c r="O34" i="21"/>
  <c r="T34" i="21"/>
  <c r="S34" i="21" a="1"/>
  <c r="S34" i="21" s="1"/>
  <c r="T33" i="21"/>
  <c r="S33" i="21" a="1"/>
  <c r="S33" i="21" s="1"/>
  <c r="Q33" i="21"/>
  <c r="R33" i="21"/>
  <c r="V33" i="21" s="1"/>
  <c r="P33" i="21"/>
  <c r="N33" i="21"/>
  <c r="O33" i="21"/>
  <c r="W32" i="21"/>
  <c r="W34" i="21" l="1"/>
  <c r="L37" i="21"/>
  <c r="U36" i="21"/>
  <c r="M36" i="21"/>
  <c r="Q35" i="21"/>
  <c r="S35" i="21" a="1"/>
  <c r="S35" i="21" s="1"/>
  <c r="P35" i="21"/>
  <c r="O35" i="21"/>
  <c r="T35" i="21"/>
  <c r="N35" i="21"/>
  <c r="R35" i="21"/>
  <c r="V35" i="21" s="1"/>
  <c r="W33" i="21"/>
  <c r="W35" i="21" l="1"/>
  <c r="O36" i="21"/>
  <c r="T36" i="21"/>
  <c r="S36" i="21" a="1"/>
  <c r="S36" i="21" s="1"/>
  <c r="N36" i="21"/>
  <c r="P36" i="21"/>
  <c r="R36" i="21"/>
  <c r="V36" i="21" s="1"/>
  <c r="Q36" i="21"/>
  <c r="M37" i="21"/>
  <c r="U37" i="21"/>
  <c r="R37" i="21" l="1"/>
  <c r="V37" i="21" s="1"/>
  <c r="S37" i="21" a="1"/>
  <c r="S37" i="21" s="1"/>
  <c r="P37" i="21"/>
  <c r="Q37" i="21"/>
  <c r="O37" i="21"/>
  <c r="T37" i="21"/>
  <c r="N37" i="21"/>
  <c r="W36" i="21"/>
  <c r="W37" i="2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7C3958E-F93A-480E-ADB3-8CF14E4FD0D4}" keepAlive="1" name="Query - FileAddress" description="Connection to the 'FileAddress' query in the workbook." type="5" refreshedVersion="0" background="1">
    <dbPr connection="Provider=Microsoft.Mashup.OleDb.1;Data Source=$Workbook$;Location=FileAddress;Extended Properties=&quot;&quot;" command="SELECT * FROM [FileAddress]"/>
  </connection>
  <connection id="2" xr16:uid="{02F7FA7B-98F8-48A7-B057-A06B28D14535}"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3" xr16:uid="{DA06B867-9333-4200-B2CE-626CB6B9DBCA}" keepAlive="1" name="Query - Parameter2" description="Connection to the 'Parameter2' query in the workbook." type="5" refreshedVersion="0" background="1">
    <dbPr connection="Provider=Microsoft.Mashup.OleDb.1;Data Source=$Workbook$;Location=Parameter2;Extended Properties=&quot;&quot;" command="SELECT * FROM [Parameter2]"/>
  </connection>
  <connection id="4" xr16:uid="{52C6F779-BC0C-44B7-AFB1-7A4502811B0C}" keepAlive="1" name="Query - PersianMonth" description="Connection to the 'PersianMonth' query in the workbook." type="5" refreshedVersion="0" background="1">
    <dbPr connection="Provider=Microsoft.Mashup.OleDb.1;Data Source=$Workbook$;Location=PersianMonth;Extended Properties=&quot;&quot;" command="SELECT * FROM [PersianMonth]"/>
  </connection>
  <connection id="5" xr16:uid="{F4D7B7CD-3EEE-4950-8F55-2E0983975418}" keepAlive="1" name="Query - sales dashboard" description="Connection to the 'sales dashboard' query in the workbook." type="5" refreshedVersion="8" background="1" saveData="1">
    <dbPr connection="Provider=Microsoft.Mashup.OleDb.1;Data Source=$Workbook$;Location=sales dashboard;Extended Properties=&quot;&quot;" command="SELECT * FROM [sales dashboard]"/>
  </connection>
  <connection id="6" xr16:uid="{6AAD22B0-1694-42EF-85D0-130A441BD9B5}"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7" xr16:uid="{998ABF59-6D9F-44E0-999E-D36003DDAA5C}"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8" xr16:uid="{9298AD47-E959-4A7D-A338-BFE32CC3BA1F}"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9" xr16:uid="{09D012E1-F497-4E5F-BA44-124F673695A6}"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10" xr16:uid="{5C970840-041B-419A-8739-C762630A0B1D}"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11" xr16:uid="{B10B5BCC-4E9A-4B5A-9F8D-B53FD71A353B}" keepAlive="1" name="Query - Transform Sample File (2)" description="Connection to the 'Transform Sample File (2)' query in the workbook." type="5" refreshedVersion="0" background="1">
    <dbPr connection="Provider=Microsoft.Mashup.OleDb.1;Data Source=$Workbook$;Location=&quot;Transform Sample File (2)&quot;;Extended Properties=&quot;&quot;" command="SELECT * FROM [Transform Sample File (2)]"/>
  </connection>
  <connection id="12" xr16:uid="{0491CA0D-8AA1-4DD6-AC67-32474EA6C8D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3" xr16:uid="{602952A2-9DDE-4072-8B51-CDEFE99D8925}" name="WorksheetConnection_Sale_Dashboard.xlsx!invoice2" type="102" refreshedVersion="8" minRefreshableVersion="5">
    <extLst>
      <ext xmlns:x15="http://schemas.microsoft.com/office/spreadsheetml/2010/11/main" uri="{DE250136-89BD-433C-8126-D09CA5730AF9}">
        <x15:connection id="invoice2">
          <x15:rangePr sourceName="_xlcn.WorksheetConnection_Sale_Dashboard.xlsxinvoice21"/>
        </x15:connection>
      </ext>
    </extLst>
  </connection>
  <connection id="14" xr16:uid="{BB0703F3-2A1C-466A-A09B-7BA928AE9BC5}" name="WorksheetConnection_گزارش تجمیعی فروش.xlsx!bargiri" type="102" refreshedVersion="8" minRefreshableVersion="5">
    <extLst>
      <ext xmlns:x15="http://schemas.microsoft.com/office/spreadsheetml/2010/11/main" uri="{DE250136-89BD-433C-8126-D09CA5730AF9}">
        <x15:connection id="bargiri">
          <x15:rangePr sourceName="_xlcn.WorksheetConnection_گزارشتجمیعیفروش.xlsxbargiri1"/>
        </x15:connection>
      </ext>
    </extLst>
  </connection>
  <connection id="15" xr16:uid="{13591F17-0DC9-40E2-8EEF-69E9874105CD}" name="WorksheetConnection_گزارش تجمیعی فروش.xlsx!invoice" type="102" refreshedVersion="8" minRefreshableVersion="5">
    <extLst>
      <ext xmlns:x15="http://schemas.microsoft.com/office/spreadsheetml/2010/11/main" uri="{DE250136-89BD-433C-8126-D09CA5730AF9}">
        <x15:connection id="invoice">
          <x15:rangePr sourceName="_xlcn.WorksheetConnection_گزارشتجمیعیفروش.xlsxinvoice1"/>
        </x15:connection>
      </ext>
    </extLst>
  </connection>
  <connection id="16" xr16:uid="{8EF8F3E6-E110-410B-8E34-F297C7579028}" name="WorksheetConnection_گزارش تجمیعی فروش.xlsx!Table1" type="102" refreshedVersion="8" minRefreshableVersion="5">
    <extLst>
      <ext xmlns:x15="http://schemas.microsoft.com/office/spreadsheetml/2010/11/main" uri="{DE250136-89BD-433C-8126-D09CA5730AF9}">
        <x15:connection id="Table1">
          <x15:rangePr sourceName="_xlcn.WorksheetConnection_گزارشتجمیعیفروش.xlsxTable11"/>
        </x15:connection>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8">
    <s v="ThisWorkbookDataModel"/>
    <s v="{[invoice2].[نوع].&amp;[بورس]}"/>
    <s v="{[invoice].[نوع سفارش].&amp;[بورس],[invoice].[نوع سفارش].&amp;[عادی],[invoice].[نوع سفارش].&amp;[انجمن],[invoice].[نوع سفارش].&amp;[تعادلی]}"/>
    <s v="{[bargiri].[سال].&amp;[1403]}"/>
    <s v="{[invoice2].[نام مشتری].&amp;[ارومیه گاز]}"/>
    <s v="{[invoice].[کمکی].&amp;[1]}"/>
    <s v="{[invoice].[Calculated Column 1].&amp;[بله]}"/>
    <s v="{[invoice].[نام مشتری].&amp;[طوس قزوین]}"/>
  </metadataStrings>
  <mdxMetadata count="7">
    <mdx n="0" f="s">
      <ms ns="1" c="0"/>
    </mdx>
    <mdx n="0" f="s">
      <ms ns="2" c="0"/>
    </mdx>
    <mdx n="0" f="s">
      <ms ns="3" c="0"/>
    </mdx>
    <mdx n="0" f="s">
      <ms ns="4" c="0"/>
    </mdx>
    <mdx n="0" f="s">
      <ms ns="5" c="0"/>
    </mdx>
    <mdx n="0" f="s">
      <ms ns="6" c="0"/>
    </mdx>
    <mdx n="0" f="s">
      <ms ns="7" c="0"/>
    </mdx>
  </mdxMetadata>
  <futureMetadata name="XLDAPR" count="1">
    <bk>
      <extLst>
        <ext uri="{bdbb8cdc-fa1e-496e-a857-3c3f30c029c3}">
          <xda:dynamicArrayProperties fDynamic="1" fCollapsed="0"/>
        </ext>
      </extLst>
    </bk>
  </futureMetadata>
  <cellMetadata count="1">
    <bk>
      <rc t="2" v="0"/>
    </bk>
  </cellMetadata>
  <valueMetadata count="7">
    <bk>
      <rc t="1" v="0"/>
    </bk>
    <bk>
      <rc t="1" v="1"/>
    </bk>
    <bk>
      <rc t="1" v="2"/>
    </bk>
    <bk>
      <rc t="1" v="3"/>
    </bk>
    <bk>
      <rc t="1" v="4"/>
    </bk>
    <bk>
      <rc t="1" v="5"/>
    </bk>
    <bk>
      <rc t="1" v="6"/>
    </bk>
  </valueMetadata>
</metadata>
</file>

<file path=xl/sharedStrings.xml><?xml version="1.0" encoding="utf-8"?>
<sst xmlns="http://schemas.openxmlformats.org/spreadsheetml/2006/main" count="8854" uniqueCount="774">
  <si>
    <t>نام مشتری</t>
  </si>
  <si>
    <t>میزان سفارش</t>
  </si>
  <si>
    <t>فی</t>
  </si>
  <si>
    <t>پ/72-1403</t>
  </si>
  <si>
    <t>پ/66-1403</t>
  </si>
  <si>
    <t>پ/60-1403</t>
  </si>
  <si>
    <t>پ/70-1403</t>
  </si>
  <si>
    <t>پ/45-1403</t>
  </si>
  <si>
    <t>پ/17-1403</t>
  </si>
  <si>
    <t>پ/14-1403</t>
  </si>
  <si>
    <t>پ/9-1403</t>
  </si>
  <si>
    <t>پ/46-1402</t>
  </si>
  <si>
    <t>پ/49-1403</t>
  </si>
  <si>
    <t>پ/45-1402</t>
  </si>
  <si>
    <t>پ/5-1402</t>
  </si>
  <si>
    <t>پ/55-1403</t>
  </si>
  <si>
    <t>پ/63-1403</t>
  </si>
  <si>
    <t>پ/46-1403</t>
  </si>
  <si>
    <t>پ/38-1403</t>
  </si>
  <si>
    <t>پ/23-1403</t>
  </si>
  <si>
    <t>پ/33-1402</t>
  </si>
  <si>
    <t>پ/29-1402</t>
  </si>
  <si>
    <t>پ/67-1403</t>
  </si>
  <si>
    <t>پ/58-1403</t>
  </si>
  <si>
    <t>پ/19-1403</t>
  </si>
  <si>
    <t>پ/11-1403</t>
  </si>
  <si>
    <t>پ/5-1403</t>
  </si>
  <si>
    <t>پ/6-1402</t>
  </si>
  <si>
    <t>پ/52-1403</t>
  </si>
  <si>
    <t>پ/31-1403</t>
  </si>
  <si>
    <t>پ/8-1403</t>
  </si>
  <si>
    <t>پ/6-1403</t>
  </si>
  <si>
    <t>پ/4-1403</t>
  </si>
  <si>
    <t>پ/13-1402</t>
  </si>
  <si>
    <t>پ/68-1403</t>
  </si>
  <si>
    <t>پ/65-1403</t>
  </si>
  <si>
    <t>پ/56-1403</t>
  </si>
  <si>
    <t>پ/51-1403</t>
  </si>
  <si>
    <t>پ/44-1403</t>
  </si>
  <si>
    <t>پ/47-1403</t>
  </si>
  <si>
    <t>پ/43-1403</t>
  </si>
  <si>
    <t>پ/13-1403</t>
  </si>
  <si>
    <t>پ/12-1402</t>
  </si>
  <si>
    <t>پ/59-1403</t>
  </si>
  <si>
    <t>پ/32-1403</t>
  </si>
  <si>
    <t>پ/48-1403</t>
  </si>
  <si>
    <t>پ/2-1403</t>
  </si>
  <si>
    <t>پ/40-1402</t>
  </si>
  <si>
    <t>پ/38-1402</t>
  </si>
  <si>
    <t>پ/37-1402</t>
  </si>
  <si>
    <t>پ/20-1403</t>
  </si>
  <si>
    <t>پ/18-1403</t>
  </si>
  <si>
    <t>پ/40-1403</t>
  </si>
  <si>
    <t>پ/7-1403</t>
  </si>
  <si>
    <t>پ/3-1403</t>
  </si>
  <si>
    <t>پ/1-1403</t>
  </si>
  <si>
    <t>پ/69-1403</t>
  </si>
  <si>
    <t>پ/10-1403</t>
  </si>
  <si>
    <t>پ/42-1402</t>
  </si>
  <si>
    <t>پ/41-1402</t>
  </si>
  <si>
    <t>پ/29-1403</t>
  </si>
  <si>
    <t>پ/21-1403</t>
  </si>
  <si>
    <t>پ/35-1403</t>
  </si>
  <si>
    <t>پ/36-1403</t>
  </si>
  <si>
    <t>الحاقیه پ/15-1403</t>
  </si>
  <si>
    <t>پ/15-1403</t>
  </si>
  <si>
    <t>پ/36-1402</t>
  </si>
  <si>
    <t>پ/73-1403</t>
  </si>
  <si>
    <t>پ/61-1403</t>
  </si>
  <si>
    <t>پ/53-1403</t>
  </si>
  <si>
    <t>پ/71-1403</t>
  </si>
  <si>
    <t>پ/22-1403</t>
  </si>
  <si>
    <t>پ/33-1403</t>
  </si>
  <si>
    <t>پ/41-1403</t>
  </si>
  <si>
    <t>پ/37-1403</t>
  </si>
  <si>
    <t>پ/27-1403</t>
  </si>
  <si>
    <t>121839</t>
  </si>
  <si>
    <t>پ/43-1402</t>
  </si>
  <si>
    <t>پ/64-1403</t>
  </si>
  <si>
    <t>پ/42-1403</t>
  </si>
  <si>
    <t>پ/30-1403</t>
  </si>
  <si>
    <t>الحاقیه پ/3-1403</t>
  </si>
  <si>
    <t>پ/44-1402</t>
  </si>
  <si>
    <t>پ/3-1402</t>
  </si>
  <si>
    <t>پ/27-1402</t>
  </si>
  <si>
    <t>پ/24-1402</t>
  </si>
  <si>
    <t>پ/28-1403</t>
  </si>
  <si>
    <t>121302</t>
  </si>
  <si>
    <t>پ/24-1403</t>
  </si>
  <si>
    <t>پ/62-1403</t>
  </si>
  <si>
    <t>پ/54-1403</t>
  </si>
  <si>
    <t>پ/34-1403</t>
  </si>
  <si>
    <t>پ/50-1403</t>
  </si>
  <si>
    <t>پ/39-1403</t>
  </si>
  <si>
    <t>پ/12-1403</t>
  </si>
  <si>
    <t>پ/17-1402</t>
  </si>
  <si>
    <t>پ/57-1403</t>
  </si>
  <si>
    <t>پ/16-1403</t>
  </si>
  <si>
    <t>اکسیژن ارومیه گاز</t>
  </si>
  <si>
    <t>پارس اکسیر البرز شمالی</t>
  </si>
  <si>
    <t>پارس کربنیک کردستان</t>
  </si>
  <si>
    <t>پاینده ساز فردوس</t>
  </si>
  <si>
    <t>تعاونی ماهان گاز</t>
  </si>
  <si>
    <t>تولید گازهای طبی و صنعتی مددکاران اصفهان</t>
  </si>
  <si>
    <t>تولیدی گازهای طبی و صنعتی طوس سبزوار</t>
  </si>
  <si>
    <t>جوش شیرین خراسان</t>
  </si>
  <si>
    <t>خوش نوش همدان</t>
  </si>
  <si>
    <t>رایا شیمی پارسیان</t>
  </si>
  <si>
    <t>رهام گاز</t>
  </si>
  <si>
    <t>سپهر سرمد</t>
  </si>
  <si>
    <t>سهیل گاز کاسپین</t>
  </si>
  <si>
    <t>شرکت امین گاز ایرانیان</t>
  </si>
  <si>
    <t>شرکت دیبا گاز پارسه</t>
  </si>
  <si>
    <t>شرکت گروه صنعتی پاژ گاز خراسان</t>
  </si>
  <si>
    <t>طاها اندیشان همپای البرز</t>
  </si>
  <si>
    <t>طاهر افروز همپای البرز</t>
  </si>
  <si>
    <t>طوس قزوین</t>
  </si>
  <si>
    <t>عبیر شیمی</t>
  </si>
  <si>
    <t>عراق اربیل</t>
  </si>
  <si>
    <t>فرافن گاز تهران</t>
  </si>
  <si>
    <t>کوشا تجارت زاگرس</t>
  </si>
  <si>
    <t>گاز اکسیژن طوس</t>
  </si>
  <si>
    <t>گاز کربنیک غرب</t>
  </si>
  <si>
    <t>گروه صنایع شیمیایی به آفرین گاز تیسفون</t>
  </si>
  <si>
    <t>ماشین سازی پیشتازان گاز کربنیک اردستان</t>
  </si>
  <si>
    <t>محمود احمدی زلتی</t>
  </si>
  <si>
    <t>میثاق گاز فراز کرج</t>
  </si>
  <si>
    <t>شماره پیش فاکتور</t>
  </si>
  <si>
    <t>تاریخ</t>
  </si>
  <si>
    <t>پ/01-1404</t>
  </si>
  <si>
    <t>تاریخ مجوز بهره برداری</t>
  </si>
  <si>
    <t>1403/12/26</t>
  </si>
  <si>
    <t>1403/12/08</t>
  </si>
  <si>
    <t>1403/12/06</t>
  </si>
  <si>
    <t>1403/12/15</t>
  </si>
  <si>
    <t>1403/10/19</t>
  </si>
  <si>
    <t>1403/05/22</t>
  </si>
  <si>
    <t>1403/04/19</t>
  </si>
  <si>
    <t>1403/02/30</t>
  </si>
  <si>
    <t>1403/01/01</t>
  </si>
  <si>
    <t>1403/11/21</t>
  </si>
  <si>
    <t>1403/09/29</t>
  </si>
  <si>
    <t>1403/09/26</t>
  </si>
  <si>
    <t>1403/07/14</t>
  </si>
  <si>
    <t>1403/12/12</t>
  </si>
  <si>
    <t>1403/06/07</t>
  </si>
  <si>
    <t>1403/03/12</t>
  </si>
  <si>
    <t>1403/01/28</t>
  </si>
  <si>
    <t>1403/09/27</t>
  </si>
  <si>
    <t>1403/02/25</t>
  </si>
  <si>
    <t>1403/02/01</t>
  </si>
  <si>
    <t>1403/01/26</t>
  </si>
  <si>
    <t>1403/12/18</t>
  </si>
  <si>
    <t>1403/11/17</t>
  </si>
  <si>
    <t>1403/10/29</t>
  </si>
  <si>
    <t>1403/10/05</t>
  </si>
  <si>
    <t>1403/04/18</t>
  </si>
  <si>
    <t>1403/11/03</t>
  </si>
  <si>
    <t>1403/01/25</t>
  </si>
  <si>
    <t>1403/06/01</t>
  </si>
  <si>
    <t>1403/10/11</t>
  </si>
  <si>
    <t>1403/02/17</t>
  </si>
  <si>
    <t>1403/01/06</t>
  </si>
  <si>
    <t>1403/03/07</t>
  </si>
  <si>
    <t>1403/08/23</t>
  </si>
  <si>
    <t>1403/06/20</t>
  </si>
  <si>
    <t>1403/11/13</t>
  </si>
  <si>
    <t>1403/10/26</t>
  </si>
  <si>
    <t>1403/04/21</t>
  </si>
  <si>
    <t>1403/12/27</t>
  </si>
  <si>
    <t>1403/12/19</t>
  </si>
  <si>
    <t>1403/12/01</t>
  </si>
  <si>
    <t>1403/11/08</t>
  </si>
  <si>
    <t>1403/11/02</t>
  </si>
  <si>
    <t>1403/09/07</t>
  </si>
  <si>
    <t>1403/08/09</t>
  </si>
  <si>
    <t>1403/07/25</t>
  </si>
  <si>
    <t>1403/10/16</t>
  </si>
  <si>
    <t>1403/08/28</t>
  </si>
  <si>
    <t>1403/03/30</t>
  </si>
  <si>
    <t>1403/07/11</t>
  </si>
  <si>
    <t>1403/07/23</t>
  </si>
  <si>
    <t>1403/10/03</t>
  </si>
  <si>
    <t>1403/03/19</t>
  </si>
  <si>
    <t>1404/01/16</t>
  </si>
  <si>
    <t>1404/02/01</t>
  </si>
  <si>
    <t>1403/10/02</t>
  </si>
  <si>
    <t>1403/08/20</t>
  </si>
  <si>
    <t>1403/04/02</t>
  </si>
  <si>
    <t>1403/04/10</t>
  </si>
  <si>
    <t>1403/02/02</t>
  </si>
  <si>
    <t>1403/11/10</t>
  </si>
  <si>
    <t>1403/10/20</t>
  </si>
  <si>
    <t>1403/04/28</t>
  </si>
  <si>
    <t>1403/04/09</t>
  </si>
  <si>
    <t>1403/12/04</t>
  </si>
  <si>
    <t>1403/08/26</t>
  </si>
  <si>
    <t>1403/01/09</t>
  </si>
  <si>
    <t>1403/11/16</t>
  </si>
  <si>
    <t>1403/04/04</t>
  </si>
  <si>
    <t>1403/03/31</t>
  </si>
  <si>
    <t>1403/12/22</t>
  </si>
  <si>
    <t>1403/04/03</t>
  </si>
  <si>
    <t>1403/11/15</t>
  </si>
  <si>
    <t>1403/01/07</t>
  </si>
  <si>
    <t>1403/06/15</t>
  </si>
  <si>
    <t>1403/06/04</t>
  </si>
  <si>
    <t>1403/11/29</t>
  </si>
  <si>
    <t>1403/03/29</t>
  </si>
  <si>
    <t>1403/01/08</t>
  </si>
  <si>
    <t>1403/04/16</t>
  </si>
  <si>
    <t>1403/05/30</t>
  </si>
  <si>
    <t>1403/12/24</t>
  </si>
  <si>
    <t>1403/09/05</t>
  </si>
  <si>
    <t>1403/10/28</t>
  </si>
  <si>
    <t>1403/04/30</t>
  </si>
  <si>
    <t>1403/01/16</t>
  </si>
  <si>
    <t>1403/11/28</t>
  </si>
  <si>
    <t>1403/11/23</t>
  </si>
  <si>
    <t>1403/10/09</t>
  </si>
  <si>
    <t>1403/10/04</t>
  </si>
  <si>
    <t>1403/07/29</t>
  </si>
  <si>
    <t>1403/02/10</t>
  </si>
  <si>
    <t>1403/10/30</t>
  </si>
  <si>
    <t>1403/10/07</t>
  </si>
  <si>
    <t>1403/07/19</t>
  </si>
  <si>
    <t>1403/04/12</t>
  </si>
  <si>
    <t>1403/08/24</t>
  </si>
  <si>
    <t>1403/07/28</t>
  </si>
  <si>
    <t>1403/09/18</t>
  </si>
  <si>
    <t>1403/10/08</t>
  </si>
  <si>
    <t>1403/05/16</t>
  </si>
  <si>
    <t>1404/01/17</t>
  </si>
  <si>
    <t>1404/01/05</t>
  </si>
  <si>
    <t>تاریخ بارگیری</t>
  </si>
  <si>
    <t>میزان بارگیری شده</t>
  </si>
  <si>
    <t>ماه</t>
  </si>
  <si>
    <t>سال</t>
  </si>
  <si>
    <t>مانده</t>
  </si>
  <si>
    <t xml:space="preserve">نوع </t>
  </si>
  <si>
    <t>تعادلی</t>
  </si>
  <si>
    <t>انجمن</t>
  </si>
  <si>
    <t>بورس</t>
  </si>
  <si>
    <t>عادی</t>
  </si>
  <si>
    <t>شش ماهه اول</t>
  </si>
  <si>
    <t>شش ماهه دوم</t>
  </si>
  <si>
    <t>توزیع هفتگی</t>
  </si>
  <si>
    <t>توزیع هفتگی2</t>
  </si>
  <si>
    <t>حمل شده</t>
  </si>
  <si>
    <t>توضیحات</t>
  </si>
  <si>
    <t>ارومیه گاز</t>
  </si>
  <si>
    <t>پارس اکسیر</t>
  </si>
  <si>
    <t>مددکاران</t>
  </si>
  <si>
    <t>طوس سبزوار</t>
  </si>
  <si>
    <t>پاژ گاز</t>
  </si>
  <si>
    <t>طاها اندیشان</t>
  </si>
  <si>
    <t>به آفرین گاز</t>
  </si>
  <si>
    <t>زمان بندی تحویل بار مشتریان انجمن گاز کربنیک</t>
  </si>
  <si>
    <t>ردیف</t>
  </si>
  <si>
    <t>میزان سفارش (کیلوگرم)</t>
  </si>
  <si>
    <t>تحویل شش ماهه اول</t>
  </si>
  <si>
    <t>تحویل شش ماهه دوم</t>
  </si>
  <si>
    <t>سپهر سرمد سپاهان</t>
  </si>
  <si>
    <t>هفتگی</t>
  </si>
  <si>
    <t xml:space="preserve">شش ماهه دوم </t>
  </si>
  <si>
    <t>نهایی</t>
  </si>
  <si>
    <t>جمع</t>
  </si>
  <si>
    <t>تاریخ پیش فاکتور</t>
  </si>
  <si>
    <t xml:space="preserve">مقدار </t>
  </si>
  <si>
    <t xml:space="preserve">پایان اردیبهشت </t>
  </si>
  <si>
    <t>پایان مرداد</t>
  </si>
  <si>
    <t>پایان شهریور</t>
  </si>
  <si>
    <t>-</t>
  </si>
  <si>
    <t>رعایت شرایط انجمن</t>
  </si>
  <si>
    <t>نوع پیش فاکتور</t>
  </si>
  <si>
    <t>تناژ تحویلی شش ماهه اول</t>
  </si>
  <si>
    <t>تناژ تحویلی شش ماهه دوم</t>
  </si>
  <si>
    <t>توزیع هفتگی.</t>
  </si>
  <si>
    <t>در صورت عدم تسویه ، بارگیری انجام نخواهد شد.</t>
  </si>
  <si>
    <t>توضیحات:</t>
  </si>
  <si>
    <t>نوبت های بارگیری با هماهنگی قبلی انجام شده و امکان جا به جایی نوبت وجود ندارد.</t>
  </si>
  <si>
    <t>لیست مشتریان</t>
  </si>
  <si>
    <t>میانگین فی</t>
  </si>
  <si>
    <t>محاسبات کلی</t>
  </si>
  <si>
    <t>نمودار نوع فروش</t>
  </si>
  <si>
    <t>میزان حمل شده</t>
  </si>
  <si>
    <t>درصد مانده</t>
  </si>
  <si>
    <t>% حمل شده</t>
  </si>
  <si>
    <t>نوع سفارش</t>
  </si>
  <si>
    <t>تعداد پیش فاکتور</t>
  </si>
  <si>
    <t>تعداد بارگیری</t>
  </si>
  <si>
    <t>محاسبات مشتریان جزئی</t>
  </si>
  <si>
    <t>درصد بارگیری</t>
  </si>
  <si>
    <t>محاسبات مشتریان کلی</t>
  </si>
  <si>
    <t>%از کل سفارش ها</t>
  </si>
  <si>
    <t>فروردین</t>
  </si>
  <si>
    <t>اسفند</t>
  </si>
  <si>
    <t>بهمن</t>
  </si>
  <si>
    <t>دی</t>
  </si>
  <si>
    <t>آذر</t>
  </si>
  <si>
    <t>آبان</t>
  </si>
  <si>
    <t>مهر</t>
  </si>
  <si>
    <t>شهریور</t>
  </si>
  <si>
    <t>مرداد</t>
  </si>
  <si>
    <t>تیر</t>
  </si>
  <si>
    <t>اردیبهشت</t>
  </si>
  <si>
    <t>% محقق شده</t>
  </si>
  <si>
    <t>تعداد مشتری</t>
  </si>
  <si>
    <t>میانگین بارگیری</t>
  </si>
  <si>
    <t>میانگین سفارش</t>
  </si>
  <si>
    <t xml:space="preserve">ماه ارسال </t>
  </si>
  <si>
    <t>خرداد</t>
  </si>
  <si>
    <t>میزان بارگیری شده(هزار تن)</t>
  </si>
  <si>
    <t>میزان سفارش(هزار تن)</t>
  </si>
  <si>
    <t>انحراف بارگیری</t>
  </si>
  <si>
    <t>انحراف سفارش</t>
  </si>
  <si>
    <t>Average of فی</t>
  </si>
  <si>
    <t>Sum of میزان سفارش</t>
  </si>
  <si>
    <t xml:space="preserve"> میانگین فی</t>
  </si>
  <si>
    <t xml:space="preserve"> میزان سفارش</t>
  </si>
  <si>
    <t>قیمت تعادلی بورس</t>
  </si>
  <si>
    <t>نوع</t>
  </si>
  <si>
    <t>Sum of میزان بارگیری شده</t>
  </si>
  <si>
    <t>تناژ بورس(کیلوگرم)</t>
  </si>
  <si>
    <t>قیمت جدید (ریال)</t>
  </si>
  <si>
    <t xml:space="preserve"> پیش فاکتور فی</t>
  </si>
  <si>
    <t>قیمت میانگین</t>
  </si>
  <si>
    <t>(Multiple Items)</t>
  </si>
  <si>
    <t>1404/01/31</t>
  </si>
  <si>
    <t>1404/01/30</t>
  </si>
  <si>
    <t>1404/01/29</t>
  </si>
  <si>
    <t>1404/01/28</t>
  </si>
  <si>
    <t>1404/01/27</t>
  </si>
  <si>
    <t>1404/01/26</t>
  </si>
  <si>
    <t>1404/01/25</t>
  </si>
  <si>
    <t>1404/01/24</t>
  </si>
  <si>
    <t>1404/01/23</t>
  </si>
  <si>
    <t>1404/01/22</t>
  </si>
  <si>
    <t>1404/01/21</t>
  </si>
  <si>
    <t>1404/01/20</t>
  </si>
  <si>
    <t>1404/01/19</t>
  </si>
  <si>
    <t>1404/01/18</t>
  </si>
  <si>
    <t>1403/12/29</t>
  </si>
  <si>
    <t>1403/12/28</t>
  </si>
  <si>
    <t>1403/12/25</t>
  </si>
  <si>
    <t>1403/12/23</t>
  </si>
  <si>
    <t>1403/12/21</t>
  </si>
  <si>
    <t>1403/12/20</t>
  </si>
  <si>
    <t>1403/12/14</t>
  </si>
  <si>
    <t>1403/12/13</t>
  </si>
  <si>
    <t>1403/12/11</t>
  </si>
  <si>
    <t>1403/12/10</t>
  </si>
  <si>
    <t>1403/12/09</t>
  </si>
  <si>
    <t>1403/12/07</t>
  </si>
  <si>
    <t>1403/12/05</t>
  </si>
  <si>
    <t>1403/12/02</t>
  </si>
  <si>
    <t>1403/11/25</t>
  </si>
  <si>
    <t>1403/11/30</t>
  </si>
  <si>
    <t>1403/11/27</t>
  </si>
  <si>
    <t>1403/11/24</t>
  </si>
  <si>
    <t>1403/11/22</t>
  </si>
  <si>
    <t>1403/11/18</t>
  </si>
  <si>
    <t>1403/11/14</t>
  </si>
  <si>
    <t>1403/11/11</t>
  </si>
  <si>
    <t>1403/11/12</t>
  </si>
  <si>
    <t>1403/11/09</t>
  </si>
  <si>
    <t>1403/11/07</t>
  </si>
  <si>
    <t>1403/11/06</t>
  </si>
  <si>
    <t>1403/11/05</t>
  </si>
  <si>
    <t>1403/11/04</t>
  </si>
  <si>
    <t>1403/11/01</t>
  </si>
  <si>
    <t>1403/10/27</t>
  </si>
  <si>
    <t>1403/10/24</t>
  </si>
  <si>
    <t>1403/10/25</t>
  </si>
  <si>
    <t>1403/10/23</t>
  </si>
  <si>
    <t>1403/10/22</t>
  </si>
  <si>
    <t>1403/10/21</t>
  </si>
  <si>
    <t>1403/10/18</t>
  </si>
  <si>
    <t>1403/10/17</t>
  </si>
  <si>
    <t>1403/10/15</t>
  </si>
  <si>
    <t>1403/10/14</t>
  </si>
  <si>
    <t>1403/10/13</t>
  </si>
  <si>
    <t>1403/10/12</t>
  </si>
  <si>
    <t>1403/10/10</t>
  </si>
  <si>
    <t>1403/10/06</t>
  </si>
  <si>
    <t>1403/04/31</t>
  </si>
  <si>
    <t>1403/10/01</t>
  </si>
  <si>
    <t>1403/09/30</t>
  </si>
  <si>
    <t>1403/09/22</t>
  </si>
  <si>
    <t>1403/09/19</t>
  </si>
  <si>
    <t>1403/09/14</t>
  </si>
  <si>
    <t>1403/09/13</t>
  </si>
  <si>
    <t>1403/09/11</t>
  </si>
  <si>
    <t>1403/09/08</t>
  </si>
  <si>
    <t>1403/09/04</t>
  </si>
  <si>
    <t>1403/08/16</t>
  </si>
  <si>
    <t>1403/08/14</t>
  </si>
  <si>
    <t>1403/08/07</t>
  </si>
  <si>
    <t>1403/08/02</t>
  </si>
  <si>
    <t>1403/09/28</t>
  </si>
  <si>
    <t>1403/09/24</t>
  </si>
  <si>
    <t>1403/09/25</t>
  </si>
  <si>
    <t>1403/09/23</t>
  </si>
  <si>
    <t>1403/09/21</t>
  </si>
  <si>
    <t>1403/09/20</t>
  </si>
  <si>
    <t>1403/09/17</t>
  </si>
  <si>
    <t>1403/09/12</t>
  </si>
  <si>
    <t>1403/09/10</t>
  </si>
  <si>
    <t>1403/09/09</t>
  </si>
  <si>
    <t>1403/09/06</t>
  </si>
  <si>
    <t>1403/09/03</t>
  </si>
  <si>
    <t>1403/09/02</t>
  </si>
  <si>
    <t>1403/09/01</t>
  </si>
  <si>
    <t>1403/08/30</t>
  </si>
  <si>
    <t>1403/08/29</t>
  </si>
  <si>
    <t>1403/08/27</t>
  </si>
  <si>
    <t>1403/08/25</t>
  </si>
  <si>
    <t>1403/08/22</t>
  </si>
  <si>
    <t>1403/08/21</t>
  </si>
  <si>
    <t>1403/08/19</t>
  </si>
  <si>
    <t>1403/08/17</t>
  </si>
  <si>
    <t>1403/08/15</t>
  </si>
  <si>
    <t>1403/08/13</t>
  </si>
  <si>
    <t>1403/08/12</t>
  </si>
  <si>
    <t>1403/08/10</t>
  </si>
  <si>
    <t>1403/08/06</t>
  </si>
  <si>
    <t>1403/08/05</t>
  </si>
  <si>
    <t>1403/08/03</t>
  </si>
  <si>
    <t>1403/08/01</t>
  </si>
  <si>
    <t>1403/07/24</t>
  </si>
  <si>
    <t>1403/07/17</t>
  </si>
  <si>
    <t>1403/07/16</t>
  </si>
  <si>
    <t>1403/08/08</t>
  </si>
  <si>
    <t>1403/07/30</t>
  </si>
  <si>
    <t>1403/07/26</t>
  </si>
  <si>
    <t>1403/07/22</t>
  </si>
  <si>
    <t>1403/07/21</t>
  </si>
  <si>
    <t>1403/07/12</t>
  </si>
  <si>
    <t>1403/07/05</t>
  </si>
  <si>
    <t>1403/07/03</t>
  </si>
  <si>
    <t>1403/07/02</t>
  </si>
  <si>
    <t>1403/06/21</t>
  </si>
  <si>
    <t>1403/06/19</t>
  </si>
  <si>
    <t>1403/07/10</t>
  </si>
  <si>
    <t>1403/07/09</t>
  </si>
  <si>
    <t>1403/07/07</t>
  </si>
  <si>
    <t>1403/06/31</t>
  </si>
  <si>
    <t>1403/06/29</t>
  </si>
  <si>
    <t>1403/06/27</t>
  </si>
  <si>
    <t>1403/06/26</t>
  </si>
  <si>
    <t>1403/06/24</t>
  </si>
  <si>
    <t>1403/06/22</t>
  </si>
  <si>
    <t>1403/05/25</t>
  </si>
  <si>
    <t>1403/06/17</t>
  </si>
  <si>
    <t>1403/06/13</t>
  </si>
  <si>
    <t>1403/06/10</t>
  </si>
  <si>
    <t>1403/06/05</t>
  </si>
  <si>
    <t>1403/06/08</t>
  </si>
  <si>
    <t>1403/06/06</t>
  </si>
  <si>
    <t>1403/06/03</t>
  </si>
  <si>
    <t>1403/05/27</t>
  </si>
  <si>
    <t>1403/05/15</t>
  </si>
  <si>
    <t>1403/05/29</t>
  </si>
  <si>
    <t>1403/04/23</t>
  </si>
  <si>
    <t>1403/04/11</t>
  </si>
  <si>
    <t>1403/04/07</t>
  </si>
  <si>
    <t>1403/05/23</t>
  </si>
  <si>
    <t>1403/05/20</t>
  </si>
  <si>
    <t>1403/05/18</t>
  </si>
  <si>
    <t>1403/05/04</t>
  </si>
  <si>
    <t>1403/05/02</t>
  </si>
  <si>
    <t>1403/05/01</t>
  </si>
  <si>
    <t>1403/04/24</t>
  </si>
  <si>
    <t>1403/04/17</t>
  </si>
  <si>
    <t>1403/04/14</t>
  </si>
  <si>
    <t>1403/02/09</t>
  </si>
  <si>
    <t>1403/02/07</t>
  </si>
  <si>
    <t>1403/02/06</t>
  </si>
  <si>
    <t>1403/01/18</t>
  </si>
  <si>
    <t>1403/01/17</t>
  </si>
  <si>
    <t>1403/02/11</t>
  </si>
  <si>
    <t>1403/02/08</t>
  </si>
  <si>
    <t>1403/02/05</t>
  </si>
  <si>
    <t>1403/02/04</t>
  </si>
  <si>
    <t>1403/02/03</t>
  </si>
  <si>
    <t>1403/01/31</t>
  </si>
  <si>
    <t>1403/01/29</t>
  </si>
  <si>
    <t>1403/01/27</t>
  </si>
  <si>
    <t>1403/01/23</t>
  </si>
  <si>
    <t>1403/01/21</t>
  </si>
  <si>
    <t>1403/01/20</t>
  </si>
  <si>
    <t>1403/01/19</t>
  </si>
  <si>
    <t>1403/01/15</t>
  </si>
  <si>
    <t>1403/01/14</t>
  </si>
  <si>
    <t>1403/01/13</t>
  </si>
  <si>
    <t>1403/01/12</t>
  </si>
  <si>
    <t>1403/01/11</t>
  </si>
  <si>
    <t>آدرس فایل</t>
  </si>
  <si>
    <t>1404/02/05</t>
  </si>
  <si>
    <t>1404/02/04</t>
  </si>
  <si>
    <t>1404/02/03</t>
  </si>
  <si>
    <t>1404/02/02</t>
  </si>
  <si>
    <t>1403</t>
  </si>
  <si>
    <t>scroll bar</t>
  </si>
  <si>
    <t>نوع شرکت</t>
  </si>
  <si>
    <t>تولید کننده</t>
  </si>
  <si>
    <t>تاریخ انقضا</t>
  </si>
  <si>
    <t>تاریخ بهره برداری</t>
  </si>
  <si>
    <t>میانگین قیمت</t>
  </si>
  <si>
    <t>میانگین وزنی</t>
  </si>
  <si>
    <t>قیمت کل بار</t>
  </si>
  <si>
    <t>میانگین وزنی قیمت(ریال)</t>
  </si>
  <si>
    <t>میانگین بار حمل شده(کیلوگرم)</t>
  </si>
  <si>
    <t>کمکی</t>
  </si>
  <si>
    <t>1</t>
  </si>
  <si>
    <t>کمکی2</t>
  </si>
  <si>
    <t>Distinct Count of نام مشتری</t>
  </si>
  <si>
    <t>1404/02/15</t>
  </si>
  <si>
    <t>1404/02/14</t>
  </si>
  <si>
    <t>1404/02/12</t>
  </si>
  <si>
    <t>1404/02/11</t>
  </si>
  <si>
    <t>1404/02/10</t>
  </si>
  <si>
    <t>1404/02/09</t>
  </si>
  <si>
    <t>1404/02/08</t>
  </si>
  <si>
    <t>1404/02/07</t>
  </si>
  <si>
    <t>1404/02/06</t>
  </si>
  <si>
    <t>C:\Users\a.faraji\Desktop\فروش</t>
  </si>
  <si>
    <t>1404/02/24</t>
  </si>
  <si>
    <t>1404/02/23</t>
  </si>
  <si>
    <t>1404/02/22</t>
  </si>
  <si>
    <t>1404/02/21</t>
  </si>
  <si>
    <t>1404/02/20</t>
  </si>
  <si>
    <t>1404/02/19</t>
  </si>
  <si>
    <t>1404/02/18</t>
  </si>
  <si>
    <t>1404/02/17</t>
  </si>
  <si>
    <t>1404/02/16</t>
  </si>
  <si>
    <t>الحاقیه پ/39-1403</t>
  </si>
  <si>
    <t>1404/02/13</t>
  </si>
  <si>
    <t>قیمت(ریال)</t>
  </si>
  <si>
    <t>پ/02-1404</t>
  </si>
  <si>
    <t>1404/12/29</t>
  </si>
  <si>
    <t>پ/03-1404</t>
  </si>
  <si>
    <t>پ/04-1404</t>
  </si>
  <si>
    <t>پ/05-1404</t>
  </si>
  <si>
    <t>پ/06-1404</t>
  </si>
  <si>
    <t>پ/07-1404</t>
  </si>
  <si>
    <t>پ/08-1404</t>
  </si>
  <si>
    <t>پ/09-1404</t>
  </si>
  <si>
    <t>پ/10-1404</t>
  </si>
  <si>
    <t>پ/11-1404</t>
  </si>
  <si>
    <t>1404/02/25</t>
  </si>
  <si>
    <t>1404/02/27</t>
  </si>
  <si>
    <t>1404/02/28</t>
  </si>
  <si>
    <t>1404/02/30</t>
  </si>
  <si>
    <t>1404/02/29</t>
  </si>
  <si>
    <t>1404/03/03</t>
  </si>
  <si>
    <t>1404/03/01</t>
  </si>
  <si>
    <t>1404/02/31</t>
  </si>
  <si>
    <t/>
  </si>
  <si>
    <t>الحاقیه پ/59-1403</t>
  </si>
  <si>
    <t>غیرفعال</t>
  </si>
  <si>
    <t>الحاقیه پ/55-1403</t>
  </si>
  <si>
    <t>1404/03/05</t>
  </si>
  <si>
    <t>1404/03/04</t>
  </si>
  <si>
    <t>الحاقیه پ/63-1403</t>
  </si>
  <si>
    <t>الحاقیه پ/58-1403</t>
  </si>
  <si>
    <t>الحاقیه پ/52-1403</t>
  </si>
  <si>
    <t>الحاقیه پ/56-1403</t>
  </si>
  <si>
    <t>الحاقیه پ/65-1403</t>
  </si>
  <si>
    <t>الحاقیه پ/51-1403</t>
  </si>
  <si>
    <t>الحاقیه پ/69-1403</t>
  </si>
  <si>
    <t>الحاقیه پ/61-1403</t>
  </si>
  <si>
    <t>الحاقیه پ/53-1403</t>
  </si>
  <si>
    <t>الحاقیه پ/64-1403</t>
  </si>
  <si>
    <t>الحاقیه پ/62-1403</t>
  </si>
  <si>
    <t>الحاقیه پ/54-1403</t>
  </si>
  <si>
    <t>الحاقیه پ/50-1403</t>
  </si>
  <si>
    <t>الحاقیه پ/57-1403</t>
  </si>
  <si>
    <t>الحاقیه پ/60-1403</t>
  </si>
  <si>
    <t>1403/03/01</t>
  </si>
  <si>
    <t>1404/03/12</t>
  </si>
  <si>
    <t>1404/03/11</t>
  </si>
  <si>
    <t>1404/03/10</t>
  </si>
  <si>
    <t>1404/03/08</t>
  </si>
  <si>
    <t>1404/03/09</t>
  </si>
  <si>
    <t>1404/03/07</t>
  </si>
  <si>
    <t>1404/03/06</t>
  </si>
  <si>
    <t xml:space="preserve"> پ/20-1404</t>
  </si>
  <si>
    <t>قیمت گذاری جدید (ریال)</t>
  </si>
  <si>
    <t>قیمت فروش رفته بورس(ریال)</t>
  </si>
  <si>
    <t>1404/07/15</t>
  </si>
  <si>
    <t>ارزش افزوده</t>
  </si>
  <si>
    <t>درصد مبلغ پیش دریافت</t>
  </si>
  <si>
    <t>میانگین بار حمل شده بر اساس سال</t>
  </si>
  <si>
    <t>میانگین بار حمل شده بر اساس شرکت</t>
  </si>
  <si>
    <t>1404/03/15</t>
  </si>
  <si>
    <t>1404/03/14</t>
  </si>
  <si>
    <t>1404/03/13</t>
  </si>
  <si>
    <t>1404/03/16</t>
  </si>
  <si>
    <t>1404/03/17</t>
  </si>
  <si>
    <t>1404/03/18</t>
  </si>
  <si>
    <t>قیمت میانگین بورس (ریال)</t>
  </si>
  <si>
    <t>1404/03/19</t>
  </si>
  <si>
    <t>جمع مانده</t>
  </si>
  <si>
    <t>1404/03/27</t>
  </si>
  <si>
    <t>1404/03/26</t>
  </si>
  <si>
    <t>1404/03/25</t>
  </si>
  <si>
    <t>1404/03/24</t>
  </si>
  <si>
    <t>1404/03/23</t>
  </si>
  <si>
    <t>1404/03/22</t>
  </si>
  <si>
    <t>1404/03/21</t>
  </si>
  <si>
    <t>1404/03/20</t>
  </si>
  <si>
    <t>1404/04/01</t>
  </si>
  <si>
    <t>1404/03/31</t>
  </si>
  <si>
    <t>1404/03/29</t>
  </si>
  <si>
    <t>1404/03/28</t>
  </si>
  <si>
    <t>الحاقیه پ/43-1402</t>
  </si>
  <si>
    <t>1404/04/04</t>
  </si>
  <si>
    <t>1404/04/03</t>
  </si>
  <si>
    <t>1404/04/02</t>
  </si>
  <si>
    <t>حمل نشده</t>
  </si>
  <si>
    <t>تناژ حمل نشده(کیلوگرم)</t>
  </si>
  <si>
    <t xml:space="preserve">نوع پیش فاکتور </t>
  </si>
  <si>
    <t>میانگین قیمت حمل نشده (ریال)</t>
  </si>
  <si>
    <t>تناژ قابل فروش(کیلوگرم)</t>
  </si>
  <si>
    <t>قیمت قابل فروش (ریال)</t>
  </si>
  <si>
    <t>تناژ قابل فروش (کیلوگرم)</t>
  </si>
  <si>
    <t>میانگین قیمت کربن بارد(ریال)</t>
  </si>
  <si>
    <t>میانگین قیمت بورس (ریال)</t>
  </si>
  <si>
    <t>پ/29-1404</t>
  </si>
  <si>
    <t>پ/30-1404</t>
  </si>
  <si>
    <t>پ/31-1404</t>
  </si>
  <si>
    <t>درصد میزان بارگیری شده</t>
  </si>
  <si>
    <t>Sum of درصد میزان بارگیری شده</t>
  </si>
  <si>
    <t>Column1</t>
  </si>
  <si>
    <t>year</t>
  </si>
  <si>
    <t>شماره عرضه</t>
  </si>
  <si>
    <t>تاریخ عرضه</t>
  </si>
  <si>
    <t>میزان عرضه</t>
  </si>
  <si>
    <t>قیمت (ریال)</t>
  </si>
  <si>
    <t>1403/04/01</t>
  </si>
  <si>
    <t>1403/07/01</t>
  </si>
  <si>
    <t>1404/04/24</t>
  </si>
  <si>
    <t>عرضه بورس</t>
  </si>
  <si>
    <t>بله</t>
  </si>
  <si>
    <t>Calculated Column 1</t>
  </si>
  <si>
    <t>پ/12-1404</t>
  </si>
  <si>
    <t>پ/13-1404</t>
  </si>
  <si>
    <t>پ/14-1404</t>
  </si>
  <si>
    <t>پ/15-1404</t>
  </si>
  <si>
    <t>پ/17-1404</t>
  </si>
  <si>
    <t>پ/18-1404</t>
  </si>
  <si>
    <t>پ/19-1404</t>
  </si>
  <si>
    <t>پ/21-1404</t>
  </si>
  <si>
    <t>پ/22-1404</t>
  </si>
  <si>
    <t>پ/28-1404</t>
  </si>
  <si>
    <t>پ/24-1404</t>
  </si>
  <si>
    <t>پ/26-1404</t>
  </si>
  <si>
    <t>پ/16-1404</t>
  </si>
  <si>
    <t>پ/27-1404</t>
  </si>
  <si>
    <t>پ/23-1404</t>
  </si>
  <si>
    <t>پ/32-1404</t>
  </si>
  <si>
    <t>1404/04/09</t>
  </si>
  <si>
    <t>1404/04/12</t>
  </si>
  <si>
    <t>پ/33-1404</t>
  </si>
  <si>
    <t>پ/34-1404</t>
  </si>
  <si>
    <t>1404/04/23</t>
  </si>
  <si>
    <t>1404/04/22</t>
  </si>
  <si>
    <t>1404/04/21</t>
  </si>
  <si>
    <t>1404/04/20</t>
  </si>
  <si>
    <t>1404/04/19</t>
  </si>
  <si>
    <t>1404/04/18</t>
  </si>
  <si>
    <t>1404/04/17</t>
  </si>
  <si>
    <t>1404/04/16</t>
  </si>
  <si>
    <t xml:space="preserve">میزان رشد سفارش </t>
  </si>
  <si>
    <t>سال گذشته</t>
  </si>
  <si>
    <t>تناژ امسال</t>
  </si>
  <si>
    <t>تناژ تجمعی</t>
  </si>
  <si>
    <t>تناژ پارسال</t>
  </si>
  <si>
    <t>ریال امسال</t>
  </si>
  <si>
    <t>ریال تجمعی</t>
  </si>
  <si>
    <t>ریال پارسال</t>
  </si>
  <si>
    <t>% رشد تناژ</t>
  </si>
  <si>
    <t>% رشد ریالی</t>
  </si>
  <si>
    <t>تجمعی</t>
  </si>
  <si>
    <t>ساده</t>
  </si>
  <si>
    <t>نمودار</t>
  </si>
  <si>
    <t>%رشد ریالی</t>
  </si>
  <si>
    <t>عرضه اول</t>
  </si>
  <si>
    <t>عرضه دوم</t>
  </si>
  <si>
    <t>عرضه سوم</t>
  </si>
  <si>
    <t>عرضه چهارم</t>
  </si>
  <si>
    <t>عرضه پنجم</t>
  </si>
  <si>
    <t xml:space="preserve">عرضه ششم </t>
  </si>
  <si>
    <t>عرضه هفتم</t>
  </si>
  <si>
    <t>عرضه هشتم</t>
  </si>
  <si>
    <t>عرضه نهم</t>
  </si>
  <si>
    <t>عرضه دهم</t>
  </si>
  <si>
    <t>عرضه یازدهم</t>
  </si>
  <si>
    <t>عرضه دوازدهم</t>
  </si>
  <si>
    <t>عرضه سیزدهم</t>
  </si>
  <si>
    <t>عرضه چهاردهم</t>
  </si>
  <si>
    <t>عرضه پانزدهم</t>
  </si>
  <si>
    <t>عرضه شانزدهم</t>
  </si>
  <si>
    <t>عرضه هفدهم</t>
  </si>
  <si>
    <t>عرضه هجدهم</t>
  </si>
  <si>
    <t>% بارگیری به مانده سفارشات</t>
  </si>
  <si>
    <t>انحراف معیار فروش</t>
  </si>
  <si>
    <t>تناژ</t>
  </si>
  <si>
    <t>ریال</t>
  </si>
  <si>
    <t>میانگین تناژ</t>
  </si>
  <si>
    <t>میانگین فروش</t>
  </si>
  <si>
    <t>انحراف معیار+</t>
  </si>
  <si>
    <t>انحراف معیار-</t>
  </si>
  <si>
    <t>انحراف فروش+</t>
  </si>
  <si>
    <t>انحراف فروش-</t>
  </si>
  <si>
    <t>1404/04/25</t>
  </si>
  <si>
    <t>پ/25-1404</t>
  </si>
  <si>
    <t>1404/04/28</t>
  </si>
  <si>
    <t>1404/04/27</t>
  </si>
  <si>
    <t>1404/04/26</t>
  </si>
  <si>
    <t>پ/35-1404</t>
  </si>
  <si>
    <t>پ/36-1404</t>
  </si>
  <si>
    <t>پ/37-1404</t>
  </si>
  <si>
    <t>پ/38-1404</t>
  </si>
  <si>
    <t>مانده تعهدات</t>
  </si>
  <si>
    <t>1404/04/29</t>
  </si>
  <si>
    <t>1404/04/30</t>
  </si>
  <si>
    <t>1404/04/31</t>
  </si>
  <si>
    <t xml:space="preserve"> </t>
  </si>
  <si>
    <t>پ/39-1404</t>
  </si>
  <si>
    <t>پ/40-1404</t>
  </si>
  <si>
    <t>پ/41-1404</t>
  </si>
  <si>
    <t>پ/42-1404</t>
  </si>
  <si>
    <t>1404/05/06</t>
  </si>
  <si>
    <t>1404/05/05</t>
  </si>
  <si>
    <t>1404/05/04</t>
  </si>
  <si>
    <t>1404/05/02</t>
  </si>
  <si>
    <t>1404/05/01</t>
  </si>
  <si>
    <t>عرضه نوزدهم</t>
  </si>
  <si>
    <t>1404/05/07</t>
  </si>
  <si>
    <t>1404/05/10</t>
  </si>
  <si>
    <t>1404/05/09</t>
  </si>
  <si>
    <t>1404/05/08</t>
  </si>
  <si>
    <t>1404/05/13</t>
  </si>
  <si>
    <t>1404/05/12</t>
  </si>
  <si>
    <t>1404/05/11</t>
  </si>
  <si>
    <t>پ/43-1404</t>
  </si>
  <si>
    <t>پ/44-1404</t>
  </si>
  <si>
    <t>پ/45-1404</t>
  </si>
  <si>
    <t>پ/46-1404</t>
  </si>
  <si>
    <t>1404/05/14</t>
  </si>
  <si>
    <t>1404/05/16</t>
  </si>
  <si>
    <t>1404/05/15</t>
  </si>
  <si>
    <t>1404/05/18</t>
  </si>
  <si>
    <t>پ/47-1404</t>
  </si>
  <si>
    <t>پ/48-1404</t>
  </si>
  <si>
    <t>پ/49-1404</t>
  </si>
  <si>
    <t>پ/50-1404</t>
  </si>
  <si>
    <t>1404/05/19</t>
  </si>
  <si>
    <t>پ/51-1404</t>
  </si>
  <si>
    <t>پ/52-1404</t>
  </si>
  <si>
    <t>پ/53-1404</t>
  </si>
  <si>
    <t>پ/54-1404</t>
  </si>
  <si>
    <t>1404/05/22</t>
  </si>
  <si>
    <t>واسطه</t>
  </si>
  <si>
    <t>1404/05/20</t>
  </si>
  <si>
    <t>1404/05/21</t>
  </si>
  <si>
    <t>آیس کار</t>
  </si>
  <si>
    <t>پ/55-1404</t>
  </si>
  <si>
    <t>1404/05/24</t>
  </si>
  <si>
    <t>1404/05/23</t>
  </si>
  <si>
    <t>1404/05/25</t>
  </si>
  <si>
    <t>1404/05/26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</si>
</sst>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3" formatCode="_ * #,##0.00_ ;_ * \-#,##0.00_ ;_ * &quot;-&quot;??_ ;_ @_ "/>
    <numFmt numFmtId="164" formatCode="_(* #,##0.00_);_(* \(#,##0.00\);_(* &quot;-&quot;??_);_(@_)"/>
    <numFmt numFmtId="165" formatCode="[$-960429]yyyy\/mm\/dd;@"/>
    <numFmt numFmtId="166" formatCode="_(* #,##0_);_(* \(#,##0\);_(* &quot;-&quot;??_);_(@_)"/>
    <numFmt numFmtId="167" formatCode="0.0%"/>
    <numFmt numFmtId="168" formatCode="#,##0.00,,"/>
    <numFmt numFmtId="169" formatCode="#,##0,"/>
    <numFmt numFmtId="170" formatCode="#0.00,"/>
    <numFmt numFmtId="171" formatCode="##,##0.00,,"/>
    <numFmt numFmtId="172" formatCode="#,##0.000,,"/>
    <numFmt numFmtId="173" formatCode="#,##0.0,"/>
    <numFmt numFmtId="174" formatCode="##,##0.00,,,"/>
    <numFmt numFmtId="175" formatCode="##,##0.0,,,"/>
  </numFmts>
  <fonts count="30" x14ac:knownFonts="1">
    <font>
      <sz val="11"/>
      <color theme="1"/>
      <name val="Arial"/>
      <family val="2"/>
      <charset val="178"/>
      <scheme val="minor"/>
    </font>
    <font>
      <sz val="11"/>
      <color theme="1"/>
      <name val="Arial"/>
      <family val="2"/>
      <scheme val="minor"/>
    </font>
    <font>
      <b/>
      <sz val="11"/>
      <color theme="1"/>
      <name val="B Nazanin"/>
      <charset val="178"/>
    </font>
    <font>
      <sz val="8"/>
      <name val="Arial"/>
      <family val="2"/>
      <charset val="178"/>
      <scheme val="minor"/>
    </font>
    <font>
      <b/>
      <sz val="11"/>
      <color rgb="FF000000"/>
      <name val="B Nazanin"/>
      <charset val="178"/>
    </font>
    <font>
      <sz val="10"/>
      <name val="Tahoma"/>
      <family val="2"/>
    </font>
    <font>
      <sz val="20"/>
      <name val="B Titr"/>
      <charset val="178"/>
    </font>
    <font>
      <sz val="14"/>
      <name val="B Nazanin"/>
      <charset val="178"/>
    </font>
    <font>
      <sz val="12"/>
      <name val="B Titr"/>
      <charset val="178"/>
    </font>
    <font>
      <sz val="11"/>
      <name val="B Titr"/>
      <charset val="178"/>
    </font>
    <font>
      <b/>
      <sz val="10"/>
      <color theme="1"/>
      <name val="B Nazanin"/>
      <charset val="178"/>
    </font>
    <font>
      <b/>
      <sz val="14"/>
      <color theme="0"/>
      <name val="B Nazanin"/>
      <charset val="178"/>
    </font>
    <font>
      <b/>
      <sz val="9"/>
      <color theme="1"/>
      <name val="B Nazanin"/>
      <charset val="178"/>
    </font>
    <font>
      <sz val="11"/>
      <color theme="1"/>
      <name val="Arial"/>
      <family val="2"/>
      <charset val="178"/>
      <scheme val="minor"/>
    </font>
    <font>
      <sz val="10"/>
      <name val="B Titr"/>
      <charset val="178"/>
    </font>
    <font>
      <sz val="11"/>
      <color theme="1"/>
      <name val="Nazanin"/>
      <charset val="178"/>
    </font>
    <font>
      <sz val="10"/>
      <color theme="1"/>
      <name val="Nazanin"/>
      <charset val="178"/>
    </font>
    <font>
      <b/>
      <sz val="11"/>
      <color theme="1"/>
      <name val="Nazanin"/>
      <charset val="178"/>
    </font>
    <font>
      <b/>
      <sz val="11"/>
      <color theme="0"/>
      <name val="B Nazanin"/>
      <charset val="178"/>
    </font>
    <font>
      <b/>
      <sz val="12"/>
      <color theme="1"/>
      <name val="B Nazanin"/>
      <charset val="178"/>
    </font>
    <font>
      <b/>
      <sz val="11"/>
      <color rgb="FFFFFFFF"/>
      <name val="B Nazanin"/>
      <charset val="178"/>
    </font>
    <font>
      <sz val="11"/>
      <color rgb="FFFFFFFF"/>
      <name val="Arial"/>
      <family val="2"/>
      <charset val="178"/>
      <scheme val="minor"/>
    </font>
    <font>
      <b/>
      <sz val="14"/>
      <color theme="1"/>
      <name val="Arial"/>
      <family val="2"/>
      <scheme val="minor"/>
    </font>
    <font>
      <b/>
      <sz val="11"/>
      <color theme="3"/>
      <name val="B Nazanin"/>
      <charset val="178"/>
    </font>
    <font>
      <sz val="11"/>
      <color theme="3"/>
      <name val="Arial"/>
      <family val="2"/>
      <charset val="178"/>
      <scheme val="minor"/>
    </font>
    <font>
      <sz val="8"/>
      <color rgb="FF000000"/>
      <name val="Segoe UI"/>
      <family val="2"/>
    </font>
    <font>
      <b/>
      <sz val="12"/>
      <color rgb="FFFFFFFF"/>
      <name val="B Nazanin"/>
      <charset val="178"/>
    </font>
    <font>
      <b/>
      <sz val="12"/>
      <color rgb="FF000000"/>
      <name val="B Nazanin"/>
      <charset val="178"/>
    </font>
    <font>
      <b/>
      <sz val="14"/>
      <color theme="1" tint="0.499984740745262"/>
      <name val="Arial"/>
      <family val="2"/>
      <scheme val="minor"/>
    </font>
    <font>
      <b/>
      <sz val="9"/>
      <color rgb="FFFFFFFF"/>
      <name val="B Nazanin"/>
      <charset val="178"/>
    </font>
  </fonts>
  <fills count="44">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EEA022"/>
        <bgColor indexed="64"/>
      </patternFill>
    </fill>
    <fill>
      <patternFill patternType="solid">
        <fgColor theme="0" tint="-0.249977111117893"/>
        <bgColor indexed="64"/>
      </patternFill>
    </fill>
    <fill>
      <patternFill patternType="solid">
        <fgColor rgb="FF1ACECA"/>
        <bgColor indexed="64"/>
      </patternFill>
    </fill>
    <fill>
      <patternFill patternType="solid">
        <fgColor rgb="FFFF00FF"/>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00FFCC"/>
        <bgColor indexed="64"/>
      </patternFill>
    </fill>
    <fill>
      <patternFill patternType="solid">
        <fgColor rgb="FF69FF69"/>
        <bgColor indexed="64"/>
      </patternFill>
    </fill>
    <fill>
      <patternFill patternType="solid">
        <fgColor rgb="FFE265FF"/>
        <bgColor indexed="64"/>
      </patternFill>
    </fill>
    <fill>
      <patternFill patternType="solid">
        <fgColor rgb="FFFB3C37"/>
        <bgColor indexed="64"/>
      </patternFill>
    </fill>
    <fill>
      <patternFill patternType="solid">
        <fgColor rgb="FFCFB9C9"/>
        <bgColor indexed="64"/>
      </patternFill>
    </fill>
    <fill>
      <patternFill patternType="solid">
        <fgColor rgb="FF00B0F0"/>
        <bgColor indexed="64"/>
      </patternFill>
    </fill>
    <fill>
      <patternFill patternType="solid">
        <fgColor rgb="FF00DA6D"/>
        <bgColor indexed="64"/>
      </patternFill>
    </fill>
    <fill>
      <patternFill patternType="solid">
        <fgColor rgb="FFFC4918"/>
        <bgColor indexed="64"/>
      </patternFill>
    </fill>
    <fill>
      <patternFill patternType="solid">
        <fgColor theme="9"/>
        <bgColor indexed="64"/>
      </patternFill>
    </fill>
    <fill>
      <patternFill patternType="solid">
        <fgColor theme="4" tint="0.79998168889431442"/>
        <bgColor indexed="64"/>
      </patternFill>
    </fill>
    <fill>
      <patternFill patternType="solid">
        <fgColor theme="5"/>
        <bgColor indexed="64"/>
      </patternFill>
    </fill>
    <fill>
      <patternFill patternType="solid">
        <fgColor theme="5"/>
        <bgColor theme="4" tint="0.79998168889431442"/>
      </patternFill>
    </fill>
    <fill>
      <patternFill patternType="solid">
        <fgColor rgb="FFFFFFFF"/>
        <bgColor indexed="64"/>
      </patternFill>
    </fill>
    <fill>
      <patternFill patternType="solid">
        <fgColor rgb="FFDDDDDD"/>
        <bgColor indexed="64"/>
      </patternFill>
    </fill>
    <fill>
      <patternFill patternType="solid">
        <fgColor theme="0"/>
        <bgColor theme="4" tint="0.79998168889431442"/>
      </patternFill>
    </fill>
    <fill>
      <patternFill patternType="solid">
        <fgColor rgb="FF2A2E32"/>
        <bgColor indexed="64"/>
      </patternFill>
    </fill>
    <fill>
      <patternFill patternType="solid">
        <fgColor theme="0" tint="0.39997558519241921"/>
        <bgColor indexed="64"/>
      </patternFill>
    </fill>
    <fill>
      <patternFill patternType="solid">
        <fgColor theme="2"/>
        <bgColor indexed="64"/>
      </patternFill>
    </fill>
    <fill>
      <patternFill patternType="solid">
        <fgColor theme="2" tint="-9.9978637043366805E-2"/>
        <bgColor indexed="64"/>
      </patternFill>
    </fill>
    <fill>
      <patternFill patternType="solid">
        <fgColor rgb="FF292A2F"/>
        <bgColor indexed="64"/>
      </patternFill>
    </fill>
    <fill>
      <patternFill patternType="solid">
        <fgColor theme="4" tint="0.79998168889431442"/>
        <bgColor theme="4" tint="0.79998168889431442"/>
      </patternFill>
    </fill>
    <fill>
      <patternFill patternType="solid">
        <fgColor theme="7"/>
        <bgColor indexed="64"/>
      </patternFill>
    </fill>
    <fill>
      <patternFill patternType="solid">
        <fgColor theme="8" tint="0.59999389629810485"/>
        <bgColor indexed="64"/>
      </patternFill>
    </fill>
    <fill>
      <patternFill patternType="solid">
        <fgColor rgb="FF3A3F44"/>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medium">
        <color indexed="64"/>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diagonal/>
    </border>
    <border>
      <left style="slantDashDot">
        <color auto="1"/>
      </left>
      <right style="slantDashDot">
        <color auto="1"/>
      </right>
      <top style="slantDashDot">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s>
  <cellStyleXfs count="6">
    <xf numFmtId="0" fontId="0" fillId="0" borderId="0"/>
    <xf numFmtId="0" fontId="1" fillId="0" borderId="0"/>
    <xf numFmtId="0" fontId="5" fillId="0" borderId="0">
      <alignment horizontal="right"/>
    </xf>
    <xf numFmtId="16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cellStyleXfs>
  <cellXfs count="323">
    <xf numFmtId="0" fontId="0" fillId="0" borderId="0" xfId="0"/>
    <xf numFmtId="0" fontId="2" fillId="0" borderId="0" xfId="1" applyFont="1" applyAlignment="1">
      <alignment horizontal="center" vertical="center"/>
    </xf>
    <xf numFmtId="3" fontId="2" fillId="0" borderId="1" xfId="1" applyNumberFormat="1" applyFont="1" applyBorder="1" applyAlignment="1">
      <alignment horizontal="center" vertical="center"/>
    </xf>
    <xf numFmtId="0" fontId="2" fillId="0" borderId="0" xfId="1" applyFont="1" applyAlignment="1">
      <alignment horizontal="right" vertical="center"/>
    </xf>
    <xf numFmtId="0" fontId="0" fillId="0" borderId="0" xfId="0" applyAlignment="1">
      <alignment horizontal="left" indent="1"/>
    </xf>
    <xf numFmtId="3" fontId="4" fillId="0" borderId="1" xfId="1" applyNumberFormat="1" applyFont="1" applyBorder="1" applyAlignment="1">
      <alignment horizontal="center" vertical="center"/>
    </xf>
    <xf numFmtId="3" fontId="4" fillId="0" borderId="2" xfId="1" applyNumberFormat="1" applyFont="1" applyBorder="1" applyAlignment="1">
      <alignment horizontal="center" vertical="center"/>
    </xf>
    <xf numFmtId="0" fontId="7" fillId="0" borderId="0" xfId="2" applyFont="1" applyAlignment="1">
      <alignment horizontal="center" vertical="center"/>
    </xf>
    <xf numFmtId="0" fontId="7" fillId="4" borderId="0" xfId="2" applyFont="1" applyFill="1" applyAlignment="1">
      <alignment horizontal="center" vertical="center"/>
    </xf>
    <xf numFmtId="3" fontId="7" fillId="0" borderId="0" xfId="2" applyNumberFormat="1" applyFont="1" applyAlignment="1">
      <alignment horizontal="center" vertical="center"/>
    </xf>
    <xf numFmtId="0" fontId="2" fillId="8" borderId="1" xfId="1" applyFont="1" applyFill="1" applyBorder="1" applyAlignment="1">
      <alignment horizontal="center" vertical="center"/>
    </xf>
    <xf numFmtId="0" fontId="2" fillId="0" borderId="1" xfId="1" applyFont="1" applyBorder="1" applyAlignment="1">
      <alignment horizontal="center" vertical="center"/>
    </xf>
    <xf numFmtId="0" fontId="2" fillId="9" borderId="1" xfId="1" applyFont="1" applyFill="1" applyBorder="1" applyAlignment="1">
      <alignment horizontal="center" vertical="center"/>
    </xf>
    <xf numFmtId="0" fontId="2" fillId="9" borderId="10" xfId="1" applyFont="1" applyFill="1" applyBorder="1" applyAlignment="1">
      <alignment horizontal="center" vertical="center"/>
    </xf>
    <xf numFmtId="3" fontId="2" fillId="9" borderId="1" xfId="1" applyNumberFormat="1" applyFont="1" applyFill="1" applyBorder="1" applyAlignment="1">
      <alignment horizontal="center" vertical="center"/>
    </xf>
    <xf numFmtId="0" fontId="2" fillId="9" borderId="0" xfId="1" applyFont="1" applyFill="1" applyAlignment="1">
      <alignment horizontal="center" vertical="center"/>
    </xf>
    <xf numFmtId="0" fontId="10" fillId="0" borderId="17" xfId="1" applyFont="1" applyBorder="1" applyAlignment="1">
      <alignment horizontal="center" vertical="center" wrapText="1"/>
    </xf>
    <xf numFmtId="0" fontId="10" fillId="9" borderId="1" xfId="1" applyFont="1" applyFill="1" applyBorder="1" applyAlignment="1">
      <alignment horizontal="center" vertical="center" wrapText="1"/>
    </xf>
    <xf numFmtId="0" fontId="2" fillId="10" borderId="1" xfId="1" applyFont="1" applyFill="1" applyBorder="1" applyAlignment="1">
      <alignment horizontal="center" vertical="center"/>
    </xf>
    <xf numFmtId="0" fontId="2" fillId="10" borderId="10" xfId="1" applyFont="1" applyFill="1" applyBorder="1" applyAlignment="1">
      <alignment horizontal="center" vertical="center"/>
    </xf>
    <xf numFmtId="0" fontId="2" fillId="8" borderId="10" xfId="1" applyFont="1" applyFill="1" applyBorder="1" applyAlignment="1">
      <alignment horizontal="center" vertical="center"/>
    </xf>
    <xf numFmtId="3" fontId="2" fillId="8" borderId="1" xfId="1" applyNumberFormat="1" applyFont="1" applyFill="1" applyBorder="1" applyAlignment="1">
      <alignment horizontal="center" vertical="center"/>
    </xf>
    <xf numFmtId="0" fontId="10" fillId="8" borderId="1" xfId="1" applyFont="1" applyFill="1" applyBorder="1" applyAlignment="1">
      <alignment horizontal="center" vertical="center" wrapText="1"/>
    </xf>
    <xf numFmtId="0" fontId="2" fillId="11" borderId="1" xfId="1" applyFont="1" applyFill="1" applyBorder="1" applyAlignment="1">
      <alignment horizontal="center" vertical="center"/>
    </xf>
    <xf numFmtId="0" fontId="2" fillId="11" borderId="10" xfId="1" applyFont="1" applyFill="1" applyBorder="1" applyAlignment="1">
      <alignment horizontal="center" vertical="center"/>
    </xf>
    <xf numFmtId="0" fontId="2" fillId="12" borderId="1" xfId="1" applyFont="1" applyFill="1" applyBorder="1" applyAlignment="1">
      <alignment horizontal="center" vertical="center"/>
    </xf>
    <xf numFmtId="0" fontId="2" fillId="12" borderId="10" xfId="1" applyFont="1" applyFill="1" applyBorder="1" applyAlignment="1">
      <alignment horizontal="center" vertical="center"/>
    </xf>
    <xf numFmtId="3" fontId="2" fillId="12" borderId="1" xfId="1" applyNumberFormat="1" applyFont="1" applyFill="1" applyBorder="1" applyAlignment="1">
      <alignment horizontal="center" vertical="center"/>
    </xf>
    <xf numFmtId="0" fontId="10" fillId="12" borderId="1" xfId="1" applyFont="1" applyFill="1" applyBorder="1" applyAlignment="1">
      <alignment horizontal="center" vertical="center" wrapText="1"/>
    </xf>
    <xf numFmtId="0" fontId="2" fillId="13" borderId="1" xfId="1" applyFont="1" applyFill="1" applyBorder="1" applyAlignment="1">
      <alignment horizontal="center" vertical="center"/>
    </xf>
    <xf numFmtId="0" fontId="2" fillId="13" borderId="10" xfId="1" applyFont="1" applyFill="1" applyBorder="1" applyAlignment="1">
      <alignment horizontal="center" vertical="center"/>
    </xf>
    <xf numFmtId="0" fontId="2" fillId="14" borderId="1" xfId="1" applyFont="1" applyFill="1" applyBorder="1" applyAlignment="1">
      <alignment horizontal="center" vertical="center"/>
    </xf>
    <xf numFmtId="0" fontId="2" fillId="14" borderId="10" xfId="1" applyFont="1" applyFill="1" applyBorder="1" applyAlignment="1">
      <alignment horizontal="center" vertical="center"/>
    </xf>
    <xf numFmtId="3" fontId="2" fillId="14" borderId="2" xfId="1" applyNumberFormat="1" applyFont="1" applyFill="1" applyBorder="1" applyAlignment="1">
      <alignment horizontal="center" vertical="center"/>
    </xf>
    <xf numFmtId="0" fontId="2" fillId="15" borderId="1" xfId="1" applyFont="1" applyFill="1" applyBorder="1" applyAlignment="1">
      <alignment horizontal="center" vertical="center"/>
    </xf>
    <xf numFmtId="0" fontId="2" fillId="15" borderId="10" xfId="1" applyFont="1" applyFill="1" applyBorder="1" applyAlignment="1">
      <alignment horizontal="center" vertical="center"/>
    </xf>
    <xf numFmtId="3" fontId="2" fillId="15" borderId="1" xfId="1" applyNumberFormat="1" applyFont="1" applyFill="1" applyBorder="1" applyAlignment="1">
      <alignment horizontal="center" vertical="center"/>
    </xf>
    <xf numFmtId="0" fontId="10" fillId="15" borderId="1" xfId="1" applyFont="1" applyFill="1" applyBorder="1" applyAlignment="1">
      <alignment horizontal="center" vertical="center" wrapText="1"/>
    </xf>
    <xf numFmtId="0" fontId="2" fillId="16" borderId="1" xfId="1" applyFont="1" applyFill="1" applyBorder="1" applyAlignment="1">
      <alignment horizontal="center" vertical="center"/>
    </xf>
    <xf numFmtId="0" fontId="2" fillId="16" borderId="10" xfId="1" applyFont="1" applyFill="1" applyBorder="1" applyAlignment="1">
      <alignment horizontal="center" vertical="center"/>
    </xf>
    <xf numFmtId="0" fontId="2" fillId="17" borderId="1" xfId="1" applyFont="1" applyFill="1" applyBorder="1" applyAlignment="1">
      <alignment horizontal="center" vertical="center"/>
    </xf>
    <xf numFmtId="0" fontId="2" fillId="17" borderId="10" xfId="1" applyFont="1" applyFill="1" applyBorder="1" applyAlignment="1">
      <alignment horizontal="center" vertical="center"/>
    </xf>
    <xf numFmtId="3" fontId="2" fillId="17" borderId="1" xfId="1" applyNumberFormat="1" applyFont="1" applyFill="1" applyBorder="1" applyAlignment="1">
      <alignment horizontal="center" vertical="center"/>
    </xf>
    <xf numFmtId="0" fontId="10" fillId="17" borderId="1" xfId="1" applyFont="1" applyFill="1" applyBorder="1" applyAlignment="1">
      <alignment horizontal="center" vertical="center" wrapText="1"/>
    </xf>
    <xf numFmtId="0" fontId="2" fillId="18" borderId="1" xfId="1" applyFont="1" applyFill="1" applyBorder="1" applyAlignment="1">
      <alignment horizontal="center" vertical="center"/>
    </xf>
    <xf numFmtId="0" fontId="2" fillId="18" borderId="10" xfId="1" applyFont="1" applyFill="1" applyBorder="1" applyAlignment="1">
      <alignment horizontal="center" vertical="center"/>
    </xf>
    <xf numFmtId="3" fontId="2" fillId="18" borderId="1" xfId="1" applyNumberFormat="1" applyFont="1" applyFill="1" applyBorder="1" applyAlignment="1">
      <alignment horizontal="center" vertical="center"/>
    </xf>
    <xf numFmtId="0" fontId="10" fillId="18" borderId="1" xfId="1" applyFont="1" applyFill="1" applyBorder="1" applyAlignment="1">
      <alignment horizontal="center" vertical="center"/>
    </xf>
    <xf numFmtId="0" fontId="2" fillId="19" borderId="1" xfId="1" applyFont="1" applyFill="1" applyBorder="1" applyAlignment="1">
      <alignment horizontal="center" vertical="center"/>
    </xf>
    <xf numFmtId="0" fontId="2" fillId="19" borderId="10" xfId="1" applyFont="1" applyFill="1" applyBorder="1" applyAlignment="1">
      <alignment horizontal="center" vertical="center"/>
    </xf>
    <xf numFmtId="0" fontId="2" fillId="20" borderId="1" xfId="1" applyFont="1" applyFill="1" applyBorder="1" applyAlignment="1">
      <alignment horizontal="center" vertical="center"/>
    </xf>
    <xf numFmtId="0" fontId="2" fillId="20" borderId="10" xfId="1" applyFont="1" applyFill="1" applyBorder="1" applyAlignment="1">
      <alignment horizontal="center" vertical="center"/>
    </xf>
    <xf numFmtId="3" fontId="2" fillId="20" borderId="1" xfId="1" applyNumberFormat="1" applyFont="1" applyFill="1" applyBorder="1" applyAlignment="1">
      <alignment horizontal="center" vertical="center"/>
    </xf>
    <xf numFmtId="0" fontId="2" fillId="21" borderId="1" xfId="1" applyFont="1" applyFill="1" applyBorder="1" applyAlignment="1">
      <alignment horizontal="center" vertical="center"/>
    </xf>
    <xf numFmtId="0" fontId="2" fillId="21" borderId="10" xfId="1" applyFont="1" applyFill="1" applyBorder="1" applyAlignment="1">
      <alignment horizontal="center" vertical="center"/>
    </xf>
    <xf numFmtId="3" fontId="2" fillId="21" borderId="1" xfId="1" applyNumberFormat="1" applyFont="1" applyFill="1" applyBorder="1" applyAlignment="1">
      <alignment horizontal="center" vertical="center"/>
    </xf>
    <xf numFmtId="0" fontId="2" fillId="22" borderId="1" xfId="1" applyFont="1" applyFill="1" applyBorder="1" applyAlignment="1">
      <alignment horizontal="center" vertical="center"/>
    </xf>
    <xf numFmtId="0" fontId="2" fillId="22" borderId="10" xfId="1" applyFont="1" applyFill="1" applyBorder="1" applyAlignment="1">
      <alignment horizontal="center" vertical="center"/>
    </xf>
    <xf numFmtId="3" fontId="2" fillId="22" borderId="1" xfId="1" applyNumberFormat="1" applyFont="1" applyFill="1" applyBorder="1" applyAlignment="1">
      <alignment horizontal="center" vertical="center"/>
    </xf>
    <xf numFmtId="0" fontId="2" fillId="23" borderId="1" xfId="1" applyFont="1" applyFill="1" applyBorder="1" applyAlignment="1">
      <alignment horizontal="center" vertical="center"/>
    </xf>
    <xf numFmtId="0" fontId="2" fillId="23" borderId="10" xfId="1" applyFont="1" applyFill="1" applyBorder="1" applyAlignment="1">
      <alignment horizontal="center" vertical="center"/>
    </xf>
    <xf numFmtId="3" fontId="2" fillId="23" borderId="1" xfId="1" applyNumberFormat="1" applyFont="1" applyFill="1" applyBorder="1" applyAlignment="1">
      <alignment horizontal="center" vertical="center"/>
    </xf>
    <xf numFmtId="0" fontId="2" fillId="24" borderId="1" xfId="1" applyFont="1" applyFill="1" applyBorder="1" applyAlignment="1">
      <alignment horizontal="center" vertical="center"/>
    </xf>
    <xf numFmtId="0" fontId="2" fillId="24" borderId="10" xfId="1" applyFont="1" applyFill="1" applyBorder="1" applyAlignment="1">
      <alignment horizontal="center" vertical="center"/>
    </xf>
    <xf numFmtId="3" fontId="2" fillId="24" borderId="1" xfId="1" applyNumberFormat="1" applyFont="1" applyFill="1" applyBorder="1" applyAlignment="1">
      <alignment horizontal="center" vertical="center"/>
    </xf>
    <xf numFmtId="0" fontId="2" fillId="25" borderId="1" xfId="1" applyFont="1" applyFill="1" applyBorder="1" applyAlignment="1">
      <alignment horizontal="center" vertical="center"/>
    </xf>
    <xf numFmtId="0" fontId="2" fillId="25" borderId="10" xfId="1" applyFont="1" applyFill="1" applyBorder="1" applyAlignment="1">
      <alignment horizontal="center" vertical="center"/>
    </xf>
    <xf numFmtId="3" fontId="2" fillId="25" borderId="1" xfId="1" applyNumberFormat="1" applyFont="1" applyFill="1" applyBorder="1" applyAlignment="1">
      <alignment horizontal="center" vertical="center"/>
    </xf>
    <xf numFmtId="0" fontId="2" fillId="26" borderId="1" xfId="1" applyFont="1" applyFill="1" applyBorder="1" applyAlignment="1">
      <alignment horizontal="center" vertical="center"/>
    </xf>
    <xf numFmtId="0" fontId="2" fillId="26" borderId="10" xfId="1" applyFont="1" applyFill="1" applyBorder="1" applyAlignment="1">
      <alignment horizontal="center" vertical="center"/>
    </xf>
    <xf numFmtId="3" fontId="2" fillId="26" borderId="1" xfId="1" applyNumberFormat="1" applyFont="1" applyFill="1" applyBorder="1" applyAlignment="1">
      <alignment horizontal="center" vertical="center"/>
    </xf>
    <xf numFmtId="0" fontId="2" fillId="10" borderId="14" xfId="1" applyFont="1" applyFill="1" applyBorder="1" applyAlignment="1">
      <alignment horizontal="center" vertical="center"/>
    </xf>
    <xf numFmtId="0" fontId="2" fillId="10" borderId="18" xfId="1" applyFont="1" applyFill="1" applyBorder="1" applyAlignment="1">
      <alignment horizontal="center" vertical="center"/>
    </xf>
    <xf numFmtId="0" fontId="2" fillId="10" borderId="15" xfId="1" applyFont="1" applyFill="1" applyBorder="1" applyAlignment="1">
      <alignment horizontal="center" vertical="center"/>
    </xf>
    <xf numFmtId="0" fontId="2" fillId="11" borderId="14" xfId="1" applyFont="1" applyFill="1" applyBorder="1" applyAlignment="1">
      <alignment horizontal="center" vertical="center"/>
    </xf>
    <xf numFmtId="0" fontId="2" fillId="11" borderId="15" xfId="1" applyFont="1" applyFill="1" applyBorder="1" applyAlignment="1">
      <alignment horizontal="center" vertical="center"/>
    </xf>
    <xf numFmtId="0" fontId="2" fillId="13" borderId="14" xfId="1" applyFont="1" applyFill="1" applyBorder="1" applyAlignment="1">
      <alignment horizontal="center" vertical="center"/>
    </xf>
    <xf numFmtId="0" fontId="2" fillId="13" borderId="15" xfId="1" applyFont="1" applyFill="1" applyBorder="1" applyAlignment="1">
      <alignment horizontal="center" vertical="center"/>
    </xf>
    <xf numFmtId="0" fontId="2" fillId="14" borderId="15" xfId="1" applyFont="1" applyFill="1" applyBorder="1" applyAlignment="1">
      <alignment horizontal="center" vertical="center"/>
    </xf>
    <xf numFmtId="0" fontId="2" fillId="11" borderId="18" xfId="1" applyFont="1" applyFill="1" applyBorder="1" applyAlignment="1">
      <alignment horizontal="center" vertical="center"/>
    </xf>
    <xf numFmtId="0" fontId="2" fillId="16" borderId="14" xfId="1" applyFont="1" applyFill="1" applyBorder="1" applyAlignment="1">
      <alignment horizontal="center" vertical="center"/>
    </xf>
    <xf numFmtId="0" fontId="2" fillId="16" borderId="15" xfId="1" applyFont="1" applyFill="1" applyBorder="1" applyAlignment="1">
      <alignment horizontal="center" vertical="center"/>
    </xf>
    <xf numFmtId="0" fontId="2" fillId="19" borderId="14" xfId="1" applyFont="1" applyFill="1" applyBorder="1" applyAlignment="1">
      <alignment horizontal="center" vertical="center"/>
    </xf>
    <xf numFmtId="0" fontId="2" fillId="19" borderId="15" xfId="1" applyFont="1" applyFill="1" applyBorder="1" applyAlignment="1">
      <alignment horizontal="center" vertical="center"/>
    </xf>
    <xf numFmtId="0" fontId="2" fillId="20" borderId="14" xfId="1" applyFont="1" applyFill="1" applyBorder="1" applyAlignment="1">
      <alignment horizontal="center" vertical="center"/>
    </xf>
    <xf numFmtId="0" fontId="2" fillId="20" borderId="18" xfId="1" applyFont="1" applyFill="1" applyBorder="1" applyAlignment="1">
      <alignment horizontal="center" vertical="center"/>
    </xf>
    <xf numFmtId="0" fontId="2" fillId="20" borderId="15" xfId="1" applyFont="1" applyFill="1" applyBorder="1" applyAlignment="1">
      <alignment horizontal="center" vertical="center"/>
    </xf>
    <xf numFmtId="0" fontId="10" fillId="20" borderId="1" xfId="1" applyFont="1" applyFill="1" applyBorder="1" applyAlignment="1">
      <alignment horizontal="center" vertical="center" wrapText="1"/>
    </xf>
    <xf numFmtId="0" fontId="2" fillId="27" borderId="1" xfId="1" applyFont="1" applyFill="1" applyBorder="1" applyAlignment="1">
      <alignment horizontal="center" vertical="center"/>
    </xf>
    <xf numFmtId="0" fontId="2" fillId="27" borderId="10" xfId="1" applyFont="1" applyFill="1" applyBorder="1" applyAlignment="1">
      <alignment horizontal="center" vertical="center"/>
    </xf>
    <xf numFmtId="0" fontId="2" fillId="27" borderId="14" xfId="1" applyFont="1" applyFill="1" applyBorder="1" applyAlignment="1">
      <alignment horizontal="center" vertical="center"/>
    </xf>
    <xf numFmtId="0" fontId="2" fillId="27" borderId="15" xfId="1" applyFont="1" applyFill="1" applyBorder="1" applyAlignment="1">
      <alignment horizontal="center" vertical="center"/>
    </xf>
    <xf numFmtId="0" fontId="11" fillId="3" borderId="6" xfId="2" applyFont="1" applyFill="1" applyBorder="1" applyAlignment="1">
      <alignment horizontal="center" vertical="center"/>
    </xf>
    <xf numFmtId="3" fontId="11" fillId="3" borderId="6" xfId="2" applyNumberFormat="1" applyFont="1" applyFill="1" applyBorder="1" applyAlignment="1">
      <alignment horizontal="center" vertical="center"/>
    </xf>
    <xf numFmtId="3" fontId="11" fillId="3" borderId="7" xfId="2" applyNumberFormat="1" applyFont="1" applyFill="1" applyBorder="1" applyAlignment="1">
      <alignment horizontal="center" vertical="center"/>
    </xf>
    <xf numFmtId="49" fontId="8" fillId="2" borderId="11" xfId="2" applyNumberFormat="1" applyFont="1" applyFill="1" applyBorder="1" applyAlignment="1">
      <alignment horizontal="center" vertical="center"/>
    </xf>
    <xf numFmtId="49" fontId="9" fillId="4" borderId="19" xfId="1" applyNumberFormat="1" applyFont="1" applyFill="1" applyBorder="1" applyAlignment="1">
      <alignment horizontal="center" vertical="center"/>
    </xf>
    <xf numFmtId="3" fontId="9" fillId="4" borderId="19" xfId="1" applyNumberFormat="1" applyFont="1" applyFill="1" applyBorder="1" applyAlignment="1">
      <alignment horizontal="center" vertical="center"/>
    </xf>
    <xf numFmtId="0" fontId="2" fillId="0" borderId="1" xfId="1" applyFont="1" applyBorder="1" applyAlignment="1">
      <alignment horizontal="right" vertical="center"/>
    </xf>
    <xf numFmtId="3" fontId="12" fillId="0" borderId="1" xfId="1" applyNumberFormat="1" applyFont="1" applyBorder="1" applyAlignment="1">
      <alignment horizontal="center" vertical="center"/>
    </xf>
    <xf numFmtId="3" fontId="10" fillId="0" borderId="1" xfId="1" applyNumberFormat="1" applyFont="1" applyBorder="1" applyAlignment="1">
      <alignment horizontal="center" vertical="center"/>
    </xf>
    <xf numFmtId="0" fontId="10" fillId="2" borderId="1" xfId="1" applyFont="1" applyFill="1" applyBorder="1" applyAlignment="1">
      <alignment horizontal="right" vertical="center"/>
    </xf>
    <xf numFmtId="0" fontId="10" fillId="0" borderId="1" xfId="1" applyFont="1" applyBorder="1" applyAlignment="1">
      <alignment horizontal="right" vertical="center"/>
    </xf>
    <xf numFmtId="0" fontId="2" fillId="28" borderId="0" xfId="0" applyFont="1" applyFill="1"/>
    <xf numFmtId="0" fontId="2" fillId="4" borderId="0" xfId="0" applyFont="1" applyFill="1"/>
    <xf numFmtId="0" fontId="14" fillId="2" borderId="8" xfId="2" applyFont="1" applyFill="1" applyBorder="1" applyAlignment="1">
      <alignment horizontal="center" vertical="center"/>
    </xf>
    <xf numFmtId="0" fontId="14" fillId="4" borderId="9" xfId="2" applyFont="1" applyFill="1" applyBorder="1" applyAlignment="1">
      <alignment horizontal="center" vertical="center"/>
    </xf>
    <xf numFmtId="3" fontId="14" fillId="5" borderId="9" xfId="2" applyNumberFormat="1" applyFont="1" applyFill="1" applyBorder="1" applyAlignment="1">
      <alignment horizontal="center" vertical="center"/>
    </xf>
    <xf numFmtId="3" fontId="14" fillId="6" borderId="9" xfId="2" applyNumberFormat="1" applyFont="1" applyFill="1" applyBorder="1" applyAlignment="1">
      <alignment horizontal="center" vertical="center"/>
    </xf>
    <xf numFmtId="3" fontId="14" fillId="7" borderId="9" xfId="2" applyNumberFormat="1" applyFont="1" applyFill="1" applyBorder="1" applyAlignment="1">
      <alignment horizontal="center" vertical="center"/>
    </xf>
    <xf numFmtId="0" fontId="14" fillId="2" borderId="12" xfId="2" applyFont="1" applyFill="1" applyBorder="1" applyAlignment="1">
      <alignment horizontal="center" vertical="center"/>
    </xf>
    <xf numFmtId="0" fontId="14" fillId="4" borderId="6" xfId="2" applyFont="1" applyFill="1" applyBorder="1" applyAlignment="1">
      <alignment horizontal="center" vertical="center"/>
    </xf>
    <xf numFmtId="3" fontId="14" fillId="5" borderId="6" xfId="2" applyNumberFormat="1" applyFont="1" applyFill="1" applyBorder="1" applyAlignment="1">
      <alignment horizontal="center" vertical="center"/>
    </xf>
    <xf numFmtId="3" fontId="14" fillId="6" borderId="6" xfId="2" applyNumberFormat="1" applyFont="1" applyFill="1" applyBorder="1" applyAlignment="1">
      <alignment horizontal="center" vertical="center"/>
    </xf>
    <xf numFmtId="3" fontId="14" fillId="7" borderId="6" xfId="2" applyNumberFormat="1" applyFont="1" applyFill="1" applyBorder="1" applyAlignment="1">
      <alignment horizontal="center" vertical="center"/>
    </xf>
    <xf numFmtId="3" fontId="2" fillId="2" borderId="1" xfId="1" applyNumberFormat="1" applyFont="1" applyFill="1" applyBorder="1" applyAlignment="1">
      <alignment horizontal="center" vertical="center"/>
    </xf>
    <xf numFmtId="166" fontId="0" fillId="0" borderId="0" xfId="0" applyNumberFormat="1"/>
    <xf numFmtId="0" fontId="2" fillId="0" borderId="0" xfId="0" applyFont="1" applyAlignment="1">
      <alignment horizontal="right" vertical="center"/>
    </xf>
    <xf numFmtId="0" fontId="2" fillId="0" borderId="0" xfId="0" applyFont="1" applyAlignment="1">
      <alignment horizontal="center" vertical="center"/>
    </xf>
    <xf numFmtId="0" fontId="2" fillId="19" borderId="0" xfId="1" applyFont="1" applyFill="1" applyAlignment="1">
      <alignment horizontal="left" vertical="center"/>
    </xf>
    <xf numFmtId="0" fontId="2" fillId="32" borderId="0" xfId="0" applyFont="1" applyFill="1"/>
    <xf numFmtId="0" fontId="23" fillId="0" borderId="0" xfId="1" applyFont="1" applyAlignment="1">
      <alignment horizontal="center" vertical="center"/>
    </xf>
    <xf numFmtId="0" fontId="24" fillId="0" borderId="0" xfId="0" applyFont="1"/>
    <xf numFmtId="0" fontId="0" fillId="35" borderId="0" xfId="0" applyFill="1"/>
    <xf numFmtId="0" fontId="21" fillId="35" borderId="0" xfId="0" applyFont="1" applyFill="1" applyAlignment="1">
      <alignment horizontal="right" vertical="center" indent="1"/>
    </xf>
    <xf numFmtId="0" fontId="18" fillId="35" borderId="0" xfId="0" applyFont="1" applyFill="1"/>
    <xf numFmtId="0" fontId="20" fillId="35" borderId="0" xfId="0" applyFont="1" applyFill="1" applyAlignment="1">
      <alignment horizontal="right" indent="1"/>
    </xf>
    <xf numFmtId="0" fontId="0" fillId="36" borderId="0" xfId="0" applyFill="1"/>
    <xf numFmtId="0" fontId="12" fillId="36" borderId="0" xfId="0" applyFont="1" applyFill="1" applyAlignment="1">
      <alignment horizontal="center" vertical="center"/>
    </xf>
    <xf numFmtId="0" fontId="12" fillId="36" borderId="0" xfId="0" applyFont="1" applyFill="1" applyAlignment="1">
      <alignment horizontal="right" vertical="center" readingOrder="2"/>
    </xf>
    <xf numFmtId="0" fontId="12" fillId="36" borderId="0" xfId="0" applyFont="1" applyFill="1" applyAlignment="1">
      <alignment horizontal="center" vertical="center" readingOrder="2"/>
    </xf>
    <xf numFmtId="0" fontId="15" fillId="36" borderId="0" xfId="0" applyFont="1" applyFill="1" applyAlignment="1">
      <alignment horizontal="center" vertical="center"/>
    </xf>
    <xf numFmtId="0" fontId="16" fillId="36" borderId="0" xfId="0" applyFont="1" applyFill="1" applyAlignment="1">
      <alignment vertical="center"/>
    </xf>
    <xf numFmtId="166" fontId="15" fillId="36" borderId="0" xfId="3" applyNumberFormat="1" applyFont="1" applyFill="1" applyBorder="1" applyAlignment="1">
      <alignment horizontal="right" vertical="center"/>
    </xf>
    <xf numFmtId="166" fontId="15" fillId="36" borderId="0" xfId="3" applyNumberFormat="1" applyFont="1" applyFill="1" applyBorder="1" applyAlignment="1">
      <alignment vertical="center"/>
    </xf>
    <xf numFmtId="9" fontId="17" fillId="36" borderId="0" xfId="4" applyFont="1" applyFill="1" applyBorder="1" applyAlignment="1">
      <alignment horizontal="right" vertical="center"/>
    </xf>
    <xf numFmtId="167" fontId="17" fillId="36" borderId="0" xfId="4" applyNumberFormat="1" applyFont="1" applyFill="1" applyBorder="1" applyAlignment="1">
      <alignment horizontal="center" vertical="center"/>
    </xf>
    <xf numFmtId="166" fontId="19" fillId="37" borderId="0" xfId="3" applyNumberFormat="1" applyFont="1" applyFill="1" applyBorder="1" applyAlignment="1">
      <alignment horizontal="center" vertical="center"/>
    </xf>
    <xf numFmtId="0" fontId="0" fillId="38" borderId="0" xfId="0" applyFill="1"/>
    <xf numFmtId="0" fontId="0" fillId="39" borderId="0" xfId="0" applyFill="1"/>
    <xf numFmtId="166" fontId="19" fillId="12" borderId="0" xfId="3" applyNumberFormat="1" applyFont="1" applyFill="1" applyBorder="1" applyAlignment="1">
      <alignment horizontal="center" vertical="center"/>
    </xf>
    <xf numFmtId="9" fontId="10" fillId="37" borderId="0" xfId="4" applyFont="1" applyFill="1" applyBorder="1" applyAlignment="1">
      <alignment horizontal="right" vertical="center"/>
    </xf>
    <xf numFmtId="9" fontId="10" fillId="12" borderId="0" xfId="4" applyFont="1" applyFill="1" applyBorder="1" applyAlignment="1">
      <alignment horizontal="right" vertical="center"/>
    </xf>
    <xf numFmtId="166" fontId="2" fillId="0" borderId="0" xfId="3" applyNumberFormat="1" applyFont="1" applyAlignment="1">
      <alignment horizontal="right" vertical="center"/>
    </xf>
    <xf numFmtId="166" fontId="2" fillId="0" borderId="0" xfId="0" applyNumberFormat="1" applyFont="1" applyAlignment="1">
      <alignment horizontal="right" vertical="center"/>
    </xf>
    <xf numFmtId="166" fontId="2" fillId="0" borderId="0" xfId="1" applyNumberFormat="1" applyFont="1" applyAlignment="1">
      <alignment horizontal="right" vertical="center"/>
    </xf>
    <xf numFmtId="0" fontId="26" fillId="0" borderId="0" xfId="1" applyFont="1" applyAlignment="1">
      <alignment horizontal="center" vertical="center"/>
    </xf>
    <xf numFmtId="0" fontId="19" fillId="0" borderId="0" xfId="1" applyFont="1" applyAlignment="1">
      <alignment horizontal="center" vertical="center"/>
    </xf>
    <xf numFmtId="3" fontId="19" fillId="0" borderId="1" xfId="1" applyNumberFormat="1" applyFont="1" applyBorder="1" applyAlignment="1">
      <alignment horizontal="center" vertical="center"/>
    </xf>
    <xf numFmtId="0" fontId="27" fillId="0" borderId="0" xfId="1" applyFont="1" applyAlignment="1">
      <alignment horizontal="center" vertical="center"/>
    </xf>
    <xf numFmtId="0" fontId="19" fillId="0" borderId="1" xfId="1" applyFont="1" applyBorder="1" applyAlignment="1">
      <alignment horizontal="center" vertical="center"/>
    </xf>
    <xf numFmtId="165" fontId="19" fillId="0" borderId="1" xfId="1" applyNumberFormat="1" applyFont="1" applyBorder="1" applyAlignment="1">
      <alignment horizontal="center" vertical="center"/>
    </xf>
    <xf numFmtId="165" fontId="19" fillId="0" borderId="0" xfId="1" applyNumberFormat="1" applyFont="1" applyAlignment="1">
      <alignment horizontal="center" vertical="center"/>
    </xf>
    <xf numFmtId="0" fontId="26" fillId="41" borderId="0" xfId="1" applyFont="1" applyFill="1" applyAlignment="1">
      <alignment horizontal="center" vertical="center"/>
    </xf>
    <xf numFmtId="0" fontId="0" fillId="42" borderId="0" xfId="0" applyFill="1"/>
    <xf numFmtId="0" fontId="2" fillId="29" borderId="0" xfId="0" applyFont="1" applyFill="1"/>
    <xf numFmtId="0" fontId="2" fillId="34" borderId="1" xfId="0" applyFont="1" applyFill="1" applyBorder="1"/>
    <xf numFmtId="0" fontId="2" fillId="40" borderId="30" xfId="0" applyFont="1" applyFill="1" applyBorder="1"/>
    <xf numFmtId="0" fontId="2" fillId="40" borderId="0" xfId="0" applyFont="1" applyFill="1"/>
    <xf numFmtId="0" fontId="2" fillId="0" borderId="0" xfId="0" applyFont="1"/>
    <xf numFmtId="0" fontId="2" fillId="0" borderId="0" xfId="0" pivotButton="1" applyFont="1"/>
    <xf numFmtId="0" fontId="2" fillId="0" borderId="0" xfId="0" applyFont="1" applyAlignment="1">
      <alignment horizontal="right"/>
    </xf>
    <xf numFmtId="0" fontId="2" fillId="30" borderId="0" xfId="0" applyFont="1" applyFill="1"/>
    <xf numFmtId="0" fontId="10" fillId="0" borderId="0" xfId="0" applyFont="1"/>
    <xf numFmtId="0" fontId="2" fillId="0" borderId="3" xfId="0" applyFont="1" applyBorder="1"/>
    <xf numFmtId="3" fontId="2" fillId="0" borderId="31" xfId="0" applyNumberFormat="1" applyFont="1" applyBorder="1"/>
    <xf numFmtId="0" fontId="2" fillId="0" borderId="0" xfId="0" applyFont="1" applyAlignment="1">
      <alignment horizontal="right" readingOrder="2"/>
    </xf>
    <xf numFmtId="0" fontId="2" fillId="4" borderId="1" xfId="0" applyFont="1" applyFill="1" applyBorder="1"/>
    <xf numFmtId="0" fontId="2" fillId="0" borderId="1" xfId="0" applyFont="1" applyBorder="1"/>
    <xf numFmtId="9" fontId="2" fillId="0" borderId="0" xfId="4" applyFont="1"/>
    <xf numFmtId="170" fontId="2" fillId="0" borderId="0" xfId="0" applyNumberFormat="1" applyFont="1"/>
    <xf numFmtId="166" fontId="2" fillId="0" borderId="0" xfId="0" applyNumberFormat="1" applyFont="1"/>
    <xf numFmtId="167" fontId="2" fillId="0" borderId="0" xfId="4" applyNumberFormat="1" applyFont="1"/>
    <xf numFmtId="167" fontId="2" fillId="0" borderId="0" xfId="0" applyNumberFormat="1" applyFont="1"/>
    <xf numFmtId="0" fontId="2" fillId="0" borderId="1" xfId="0" applyFont="1" applyBorder="1" applyAlignment="1">
      <alignment horizontal="right"/>
    </xf>
    <xf numFmtId="166" fontId="2" fillId="0" borderId="1" xfId="0" applyNumberFormat="1" applyFont="1" applyBorder="1"/>
    <xf numFmtId="9" fontId="2" fillId="0" borderId="1" xfId="4" applyFont="1" applyBorder="1"/>
    <xf numFmtId="9" fontId="2" fillId="0" borderId="0" xfId="4" applyFont="1" applyBorder="1"/>
    <xf numFmtId="168" fontId="2" fillId="0" borderId="1" xfId="0" applyNumberFormat="1" applyFont="1" applyBorder="1"/>
    <xf numFmtId="0" fontId="2" fillId="0" borderId="13" xfId="0" applyFont="1" applyBorder="1"/>
    <xf numFmtId="166" fontId="2" fillId="0" borderId="1" xfId="3" applyNumberFormat="1" applyFont="1" applyBorder="1"/>
    <xf numFmtId="166" fontId="2" fillId="0" borderId="0" xfId="3" applyNumberFormat="1" applyFont="1"/>
    <xf numFmtId="168" fontId="2" fillId="0" borderId="0" xfId="0" applyNumberFormat="1" applyFont="1"/>
    <xf numFmtId="169" fontId="2" fillId="0" borderId="0" xfId="0" applyNumberFormat="1" applyFont="1"/>
    <xf numFmtId="171" fontId="2" fillId="0" borderId="1" xfId="0" applyNumberFormat="1" applyFont="1" applyBorder="1"/>
    <xf numFmtId="166" fontId="2" fillId="0" borderId="0" xfId="3" applyNumberFormat="1" applyFont="1" applyBorder="1"/>
    <xf numFmtId="0" fontId="2" fillId="0" borderId="14" xfId="0" applyFont="1" applyBorder="1"/>
    <xf numFmtId="0" fontId="2" fillId="0" borderId="17" xfId="0" applyFont="1" applyBorder="1"/>
    <xf numFmtId="172" fontId="2" fillId="0" borderId="0" xfId="0" applyNumberFormat="1" applyFont="1"/>
    <xf numFmtId="0" fontId="2" fillId="0" borderId="18" xfId="0" applyFont="1" applyBorder="1"/>
    <xf numFmtId="0" fontId="2" fillId="0" borderId="28" xfId="0" applyFont="1" applyBorder="1"/>
    <xf numFmtId="171" fontId="2" fillId="0" borderId="0" xfId="0" applyNumberFormat="1" applyFont="1"/>
    <xf numFmtId="0" fontId="2" fillId="0" borderId="15" xfId="0" applyFont="1" applyBorder="1"/>
    <xf numFmtId="0" fontId="2" fillId="0" borderId="29" xfId="0" applyFont="1" applyBorder="1"/>
    <xf numFmtId="0" fontId="29" fillId="35" borderId="0" xfId="0" applyFont="1" applyFill="1" applyAlignment="1">
      <alignment horizontal="right" indent="1"/>
    </xf>
    <xf numFmtId="0" fontId="29" fillId="35" borderId="0" xfId="0" applyFont="1" applyFill="1" applyAlignment="1">
      <alignment horizontal="right" vertical="center" indent="1"/>
    </xf>
    <xf numFmtId="166" fontId="2" fillId="37" borderId="0" xfId="3" applyNumberFormat="1" applyFont="1" applyFill="1" applyBorder="1" applyAlignment="1">
      <alignment horizontal="center" vertical="center"/>
    </xf>
    <xf numFmtId="9" fontId="26" fillId="0" borderId="0" xfId="4" applyFont="1" applyAlignment="1">
      <alignment horizontal="center" vertical="center"/>
    </xf>
    <xf numFmtId="9" fontId="27" fillId="0" borderId="0" xfId="4" applyFont="1" applyAlignment="1">
      <alignment horizontal="center" vertical="center"/>
    </xf>
    <xf numFmtId="9" fontId="19" fillId="0" borderId="0" xfId="4" applyFont="1" applyAlignment="1">
      <alignment horizontal="center" vertical="center"/>
    </xf>
    <xf numFmtId="0" fontId="19" fillId="37" borderId="0" xfId="0" applyFont="1" applyFill="1" applyAlignment="1">
      <alignment horizontal="center" vertical="center"/>
    </xf>
    <xf numFmtId="165" fontId="19" fillId="37" borderId="0" xfId="0" applyNumberFormat="1" applyFont="1" applyFill="1" applyAlignment="1">
      <alignment horizontal="center" vertical="center"/>
    </xf>
    <xf numFmtId="0" fontId="19" fillId="12" borderId="14" xfId="0" applyFont="1" applyFill="1" applyBorder="1" applyAlignment="1">
      <alignment horizontal="center" vertical="center"/>
    </xf>
    <xf numFmtId="0" fontId="19" fillId="12" borderId="32" xfId="0" applyFont="1" applyFill="1" applyBorder="1" applyAlignment="1">
      <alignment horizontal="center" vertical="center"/>
    </xf>
    <xf numFmtId="165" fontId="19" fillId="12" borderId="32" xfId="0" applyNumberFormat="1" applyFont="1" applyFill="1" applyBorder="1" applyAlignment="1">
      <alignment horizontal="center" vertical="center"/>
    </xf>
    <xf numFmtId="166" fontId="2" fillId="12" borderId="32" xfId="3" applyNumberFormat="1" applyFont="1" applyFill="1" applyBorder="1" applyAlignment="1">
      <alignment horizontal="center" vertical="center"/>
    </xf>
    <xf numFmtId="166" fontId="19" fillId="12" borderId="32" xfId="3" applyNumberFormat="1" applyFont="1" applyFill="1" applyBorder="1" applyAlignment="1">
      <alignment horizontal="center" vertical="center"/>
    </xf>
    <xf numFmtId="0" fontId="19" fillId="37" borderId="18" xfId="0" applyFont="1" applyFill="1" applyBorder="1" applyAlignment="1">
      <alignment horizontal="center" vertical="center"/>
    </xf>
    <xf numFmtId="0" fontId="19" fillId="12" borderId="18" xfId="0" applyFont="1" applyFill="1" applyBorder="1" applyAlignment="1">
      <alignment horizontal="center" vertical="center"/>
    </xf>
    <xf numFmtId="0" fontId="19" fillId="12" borderId="0" xfId="0" applyFont="1" applyFill="1" applyAlignment="1">
      <alignment horizontal="center" vertical="center"/>
    </xf>
    <xf numFmtId="165" fontId="19" fillId="12" borderId="0" xfId="0" applyNumberFormat="1" applyFont="1" applyFill="1" applyAlignment="1">
      <alignment horizontal="center" vertical="center"/>
    </xf>
    <xf numFmtId="166" fontId="19" fillId="12" borderId="28" xfId="3" applyNumberFormat="1" applyFont="1" applyFill="1" applyBorder="1" applyAlignment="1">
      <alignment horizontal="center" vertical="center"/>
    </xf>
    <xf numFmtId="166" fontId="19" fillId="37" borderId="28" xfId="3" applyNumberFormat="1" applyFont="1" applyFill="1" applyBorder="1" applyAlignment="1">
      <alignment horizontal="center" vertical="center"/>
    </xf>
    <xf numFmtId="0" fontId="19" fillId="37" borderId="15" xfId="0" applyFont="1" applyFill="1" applyBorder="1" applyAlignment="1">
      <alignment horizontal="center" vertical="center"/>
    </xf>
    <xf numFmtId="0" fontId="19" fillId="37" borderId="33" xfId="0" applyFont="1" applyFill="1" applyBorder="1" applyAlignment="1">
      <alignment horizontal="center" vertical="center"/>
    </xf>
    <xf numFmtId="165" fontId="19" fillId="37" borderId="33" xfId="0" applyNumberFormat="1" applyFont="1" applyFill="1" applyBorder="1" applyAlignment="1">
      <alignment horizontal="center" vertical="center"/>
    </xf>
    <xf numFmtId="166" fontId="19" fillId="37" borderId="33" xfId="3" applyNumberFormat="1" applyFont="1" applyFill="1" applyBorder="1" applyAlignment="1">
      <alignment horizontal="center" vertical="center"/>
    </xf>
    <xf numFmtId="9" fontId="10" fillId="37" borderId="33" xfId="4" applyFont="1" applyFill="1" applyBorder="1" applyAlignment="1">
      <alignment horizontal="right" vertical="center"/>
    </xf>
    <xf numFmtId="166" fontId="19" fillId="37" borderId="29" xfId="3" applyNumberFormat="1" applyFont="1" applyFill="1" applyBorder="1" applyAlignment="1">
      <alignment horizontal="center" vertical="center"/>
    </xf>
    <xf numFmtId="10" fontId="2" fillId="0" borderId="0" xfId="0" applyNumberFormat="1" applyFont="1"/>
    <xf numFmtId="43" fontId="0" fillId="38" borderId="0" xfId="0" applyNumberFormat="1" applyFill="1"/>
    <xf numFmtId="172" fontId="2" fillId="0" borderId="0" xfId="4" applyNumberFormat="1" applyFont="1" applyBorder="1"/>
    <xf numFmtId="0" fontId="21" fillId="0" borderId="0" xfId="0" applyFont="1"/>
    <xf numFmtId="0" fontId="2" fillId="43" borderId="0" xfId="0" applyFont="1" applyFill="1"/>
    <xf numFmtId="9" fontId="2" fillId="43" borderId="0" xfId="4" applyFont="1" applyFill="1"/>
    <xf numFmtId="0" fontId="2" fillId="0" borderId="0" xfId="4" applyNumberFormat="1" applyFont="1"/>
    <xf numFmtId="166" fontId="2" fillId="0" borderId="0" xfId="5" applyNumberFormat="1" applyFont="1"/>
    <xf numFmtId="164" fontId="2" fillId="0" borderId="0" xfId="3" applyFont="1"/>
    <xf numFmtId="173" fontId="2" fillId="0" borderId="0" xfId="3" applyNumberFormat="1" applyFont="1"/>
    <xf numFmtId="173" fontId="2" fillId="0" borderId="0" xfId="0" applyNumberFormat="1" applyFont="1"/>
    <xf numFmtId="174" fontId="2" fillId="0" borderId="0" xfId="0" applyNumberFormat="1" applyFont="1"/>
    <xf numFmtId="169" fontId="2" fillId="0" borderId="0" xfId="3" applyNumberFormat="1" applyFont="1"/>
    <xf numFmtId="175" fontId="2" fillId="0" borderId="0" xfId="3" applyNumberFormat="1" applyFont="1"/>
    <xf numFmtId="0" fontId="19" fillId="0" borderId="11" xfId="1" applyFont="1" applyBorder="1" applyAlignment="1">
      <alignment horizontal="center" vertical="center"/>
    </xf>
    <xf numFmtId="3" fontId="19" fillId="0" borderId="11" xfId="1" applyNumberFormat="1" applyFont="1" applyBorder="1" applyAlignment="1">
      <alignment horizontal="center" vertical="center"/>
    </xf>
    <xf numFmtId="9" fontId="27" fillId="0" borderId="0" xfId="4" applyFont="1" applyBorder="1" applyAlignment="1">
      <alignment horizontal="center" vertical="center"/>
    </xf>
    <xf numFmtId="0" fontId="2" fillId="30" borderId="1" xfId="0" applyFont="1" applyFill="1" applyBorder="1" applyAlignment="1">
      <alignment vertical="center"/>
    </xf>
    <xf numFmtId="0" fontId="2" fillId="30" borderId="1" xfId="0" applyFont="1" applyFill="1" applyBorder="1" applyAlignment="1">
      <alignment horizontal="center" vertical="center"/>
    </xf>
    <xf numFmtId="0" fontId="12" fillId="30" borderId="1" xfId="0" applyFont="1" applyFill="1" applyBorder="1" applyAlignment="1">
      <alignment horizontal="center" vertical="center"/>
    </xf>
    <xf numFmtId="0" fontId="2" fillId="31" borderId="1" xfId="0" applyFont="1" applyFill="1" applyBorder="1" applyAlignment="1">
      <alignment horizontal="center" vertical="center"/>
    </xf>
    <xf numFmtId="0" fontId="2" fillId="30" borderId="1" xfId="0" applyFont="1" applyFill="1" applyBorder="1" applyAlignment="1">
      <alignment horizontal="center" vertical="center" readingOrder="2"/>
    </xf>
    <xf numFmtId="3" fontId="2" fillId="0" borderId="0" xfId="0" applyNumberFormat="1" applyFont="1"/>
    <xf numFmtId="165" fontId="27" fillId="0" borderId="11" xfId="1" applyNumberFormat="1" applyFont="1" applyBorder="1" applyAlignment="1">
      <alignment horizontal="center" vertical="center"/>
    </xf>
    <xf numFmtId="165" fontId="27" fillId="0" borderId="1" xfId="1" applyNumberFormat="1" applyFont="1" applyBorder="1" applyAlignment="1">
      <alignment horizontal="center" vertical="center"/>
    </xf>
    <xf numFmtId="166" fontId="28" fillId="33" borderId="0" xfId="3" applyNumberFormat="1" applyFont="1" applyFill="1" applyAlignment="1">
      <alignment horizontal="center" vertical="center"/>
    </xf>
    <xf numFmtId="166" fontId="22" fillId="0" borderId="0" xfId="3" applyNumberFormat="1" applyFont="1" applyFill="1" applyAlignment="1">
      <alignment horizontal="center" vertical="center"/>
    </xf>
    <xf numFmtId="166" fontId="22" fillId="30" borderId="0" xfId="3" applyNumberFormat="1" applyFont="1" applyFill="1" applyAlignment="1">
      <alignment horizontal="center" vertical="center"/>
    </xf>
    <xf numFmtId="166" fontId="0" fillId="39" borderId="0" xfId="3" applyNumberFormat="1" applyFont="1" applyFill="1" applyAlignment="1">
      <alignment horizontal="center" vertical="center"/>
    </xf>
    <xf numFmtId="0" fontId="2" fillId="0" borderId="0" xfId="0" applyFont="1" applyAlignment="1">
      <alignment horizontal="center"/>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6" fillId="0" borderId="5" xfId="2" applyFont="1" applyBorder="1" applyAlignment="1">
      <alignment horizontal="center" vertical="center"/>
    </xf>
    <xf numFmtId="3" fontId="7" fillId="0" borderId="20" xfId="2" applyNumberFormat="1" applyFont="1" applyBorder="1" applyAlignment="1">
      <alignment horizontal="right" vertical="center"/>
    </xf>
    <xf numFmtId="3" fontId="7" fillId="0" borderId="21" xfId="2" applyNumberFormat="1" applyFont="1" applyBorder="1" applyAlignment="1">
      <alignment horizontal="right" vertical="center"/>
    </xf>
    <xf numFmtId="3" fontId="7" fillId="0" borderId="22" xfId="2" applyNumberFormat="1" applyFont="1" applyBorder="1" applyAlignment="1">
      <alignment horizontal="right" vertical="center"/>
    </xf>
    <xf numFmtId="3" fontId="7" fillId="0" borderId="23" xfId="2" applyNumberFormat="1" applyFont="1" applyBorder="1" applyAlignment="1">
      <alignment horizontal="right" vertical="center"/>
    </xf>
    <xf numFmtId="3" fontId="7" fillId="0" borderId="0" xfId="2" applyNumberFormat="1" applyFont="1" applyAlignment="1">
      <alignment horizontal="right" vertical="center"/>
    </xf>
    <xf numFmtId="3" fontId="7" fillId="0" borderId="24" xfId="2" applyNumberFormat="1" applyFont="1" applyBorder="1" applyAlignment="1">
      <alignment horizontal="right" vertical="center"/>
    </xf>
    <xf numFmtId="3" fontId="7" fillId="0" borderId="25" xfId="2" applyNumberFormat="1" applyFont="1" applyBorder="1" applyAlignment="1">
      <alignment horizontal="right" vertical="center"/>
    </xf>
    <xf numFmtId="3" fontId="7" fillId="0" borderId="26" xfId="2" applyNumberFormat="1" applyFont="1" applyBorder="1" applyAlignment="1">
      <alignment horizontal="right" vertical="center"/>
    </xf>
    <xf numFmtId="3" fontId="7" fillId="0" borderId="27" xfId="2" applyNumberFormat="1" applyFont="1" applyBorder="1" applyAlignment="1">
      <alignment horizontal="right" vertical="center"/>
    </xf>
    <xf numFmtId="0" fontId="2" fillId="0" borderId="16" xfId="1" applyFont="1" applyBorder="1" applyAlignment="1">
      <alignment horizontal="center" vertical="center"/>
    </xf>
    <xf numFmtId="0" fontId="2" fillId="0" borderId="1" xfId="1" applyFont="1" applyBorder="1" applyAlignment="1">
      <alignment horizontal="center" vertical="center"/>
    </xf>
    <xf numFmtId="0" fontId="2" fillId="10" borderId="1" xfId="1" applyFont="1" applyFill="1" applyBorder="1" applyAlignment="1">
      <alignment horizontal="center" vertical="center" wrapText="1"/>
    </xf>
    <xf numFmtId="3" fontId="2" fillId="10" borderId="11" xfId="1" applyNumberFormat="1" applyFont="1" applyFill="1" applyBorder="1" applyAlignment="1">
      <alignment horizontal="center" vertical="center"/>
    </xf>
    <xf numFmtId="3" fontId="2" fillId="10" borderId="13" xfId="1" applyNumberFormat="1" applyFont="1" applyFill="1" applyBorder="1" applyAlignment="1">
      <alignment horizontal="center" vertical="center"/>
    </xf>
    <xf numFmtId="3" fontId="2" fillId="10" borderId="2" xfId="1" applyNumberFormat="1" applyFont="1" applyFill="1" applyBorder="1" applyAlignment="1">
      <alignment horizontal="center" vertical="center"/>
    </xf>
    <xf numFmtId="0" fontId="10" fillId="10" borderId="11" xfId="1" applyFont="1" applyFill="1" applyBorder="1" applyAlignment="1">
      <alignment horizontal="center" vertical="center" wrapText="1"/>
    </xf>
    <xf numFmtId="0" fontId="10" fillId="10" borderId="13" xfId="1" applyFont="1" applyFill="1" applyBorder="1" applyAlignment="1">
      <alignment horizontal="center" vertical="center" wrapText="1"/>
    </xf>
    <xf numFmtId="0" fontId="10" fillId="10" borderId="2" xfId="1" applyFont="1" applyFill="1" applyBorder="1" applyAlignment="1">
      <alignment horizontal="center" vertical="center" wrapText="1"/>
    </xf>
    <xf numFmtId="0" fontId="2" fillId="7" borderId="11" xfId="1" applyFont="1" applyFill="1" applyBorder="1" applyAlignment="1">
      <alignment horizontal="center" vertical="center"/>
    </xf>
    <xf numFmtId="0" fontId="2" fillId="7" borderId="2" xfId="1" applyFont="1" applyFill="1" applyBorder="1" applyAlignment="1">
      <alignment horizontal="center" vertical="center"/>
    </xf>
    <xf numFmtId="0" fontId="2" fillId="8" borderId="1" xfId="1" applyFont="1" applyFill="1" applyBorder="1" applyAlignment="1">
      <alignment horizontal="center" vertical="center"/>
    </xf>
    <xf numFmtId="0" fontId="2" fillId="0" borderId="11" xfId="1" applyFont="1" applyBorder="1" applyAlignment="1">
      <alignment horizontal="center" vertical="center"/>
    </xf>
    <xf numFmtId="0" fontId="2" fillId="0" borderId="2" xfId="1" applyFont="1" applyBorder="1" applyAlignment="1">
      <alignment horizontal="center" vertical="center"/>
    </xf>
    <xf numFmtId="0" fontId="2" fillId="0" borderId="11" xfId="1" applyFont="1" applyBorder="1" applyAlignment="1">
      <alignment horizontal="center" vertical="center" wrapText="1"/>
    </xf>
    <xf numFmtId="0" fontId="2" fillId="0" borderId="2" xfId="1" applyFont="1" applyBorder="1" applyAlignment="1">
      <alignment horizontal="center" vertical="center" wrapText="1"/>
    </xf>
    <xf numFmtId="0" fontId="10" fillId="27" borderId="11" xfId="1" applyFont="1" applyFill="1" applyBorder="1" applyAlignment="1">
      <alignment horizontal="center" vertical="center" wrapText="1"/>
    </xf>
    <xf numFmtId="0" fontId="10" fillId="27" borderId="2" xfId="1" applyFont="1" applyFill="1" applyBorder="1" applyAlignment="1">
      <alignment horizontal="center" vertical="center" wrapText="1"/>
    </xf>
    <xf numFmtId="3" fontId="2" fillId="27" borderId="11" xfId="1" applyNumberFormat="1" applyFont="1" applyFill="1" applyBorder="1" applyAlignment="1">
      <alignment horizontal="center" vertical="center"/>
    </xf>
    <xf numFmtId="3" fontId="2" fillId="27" borderId="2" xfId="1" applyNumberFormat="1" applyFont="1" applyFill="1" applyBorder="1" applyAlignment="1">
      <alignment horizontal="center" vertical="center"/>
    </xf>
    <xf numFmtId="0" fontId="10" fillId="11" borderId="11" xfId="1" applyFont="1" applyFill="1" applyBorder="1" applyAlignment="1">
      <alignment horizontal="center" vertical="center" wrapText="1"/>
    </xf>
    <xf numFmtId="0" fontId="10" fillId="11" borderId="13" xfId="1" applyFont="1" applyFill="1" applyBorder="1" applyAlignment="1">
      <alignment horizontal="center" vertical="center" wrapText="1"/>
    </xf>
    <xf numFmtId="0" fontId="10" fillId="11" borderId="2" xfId="1" applyFont="1" applyFill="1" applyBorder="1" applyAlignment="1">
      <alignment horizontal="center" vertical="center" wrapText="1"/>
    </xf>
    <xf numFmtId="3" fontId="2" fillId="16" borderId="11" xfId="1" applyNumberFormat="1" applyFont="1" applyFill="1" applyBorder="1" applyAlignment="1">
      <alignment horizontal="center" vertical="center"/>
    </xf>
    <xf numFmtId="3" fontId="2" fillId="16" borderId="2" xfId="1" applyNumberFormat="1" applyFont="1" applyFill="1" applyBorder="1" applyAlignment="1">
      <alignment horizontal="center" vertical="center"/>
    </xf>
    <xf numFmtId="3" fontId="10" fillId="16" borderId="11" xfId="1" applyNumberFormat="1" applyFont="1" applyFill="1" applyBorder="1" applyAlignment="1">
      <alignment horizontal="center" vertical="center" wrapText="1"/>
    </xf>
    <xf numFmtId="3" fontId="10" fillId="16" borderId="2" xfId="1" applyNumberFormat="1" applyFont="1" applyFill="1" applyBorder="1" applyAlignment="1">
      <alignment horizontal="center" vertical="center" wrapText="1"/>
    </xf>
    <xf numFmtId="3" fontId="2" fillId="11" borderId="11" xfId="1" applyNumberFormat="1" applyFont="1" applyFill="1" applyBorder="1" applyAlignment="1">
      <alignment horizontal="center" vertical="center"/>
    </xf>
    <xf numFmtId="3" fontId="2" fillId="11" borderId="13" xfId="1" applyNumberFormat="1" applyFont="1" applyFill="1" applyBorder="1" applyAlignment="1">
      <alignment horizontal="center" vertical="center"/>
    </xf>
    <xf numFmtId="3" fontId="2" fillId="11" borderId="2" xfId="1" applyNumberFormat="1" applyFont="1" applyFill="1" applyBorder="1" applyAlignment="1">
      <alignment horizontal="center" vertical="center"/>
    </xf>
    <xf numFmtId="0" fontId="10" fillId="20" borderId="11" xfId="1" applyFont="1" applyFill="1" applyBorder="1" applyAlignment="1">
      <alignment horizontal="center" vertical="center"/>
    </xf>
    <xf numFmtId="0" fontId="10" fillId="20" borderId="13" xfId="1" applyFont="1" applyFill="1" applyBorder="1" applyAlignment="1">
      <alignment horizontal="center" vertical="center"/>
    </xf>
    <xf numFmtId="0" fontId="10" fillId="20" borderId="2" xfId="1" applyFont="1" applyFill="1" applyBorder="1" applyAlignment="1">
      <alignment horizontal="center" vertical="center"/>
    </xf>
    <xf numFmtId="0" fontId="2" fillId="20" borderId="11" xfId="1" applyFont="1" applyFill="1" applyBorder="1" applyAlignment="1">
      <alignment horizontal="center" vertical="center"/>
    </xf>
    <xf numFmtId="0" fontId="2" fillId="20" borderId="13" xfId="1" applyFont="1" applyFill="1" applyBorder="1" applyAlignment="1">
      <alignment horizontal="center" vertical="center"/>
    </xf>
    <xf numFmtId="0" fontId="2" fillId="20" borderId="2" xfId="1" applyFont="1" applyFill="1" applyBorder="1" applyAlignment="1">
      <alignment horizontal="center" vertical="center"/>
    </xf>
    <xf numFmtId="3" fontId="2" fillId="19" borderId="11" xfId="1" applyNumberFormat="1" applyFont="1" applyFill="1" applyBorder="1" applyAlignment="1">
      <alignment horizontal="center" vertical="center"/>
    </xf>
    <xf numFmtId="3" fontId="2" fillId="19" borderId="2" xfId="1" applyNumberFormat="1" applyFont="1" applyFill="1" applyBorder="1" applyAlignment="1">
      <alignment horizontal="center" vertical="center"/>
    </xf>
    <xf numFmtId="3" fontId="2" fillId="20" borderId="11" xfId="1" applyNumberFormat="1" applyFont="1" applyFill="1" applyBorder="1" applyAlignment="1">
      <alignment horizontal="center" vertical="center"/>
    </xf>
    <xf numFmtId="3" fontId="2" fillId="20" borderId="13" xfId="1" applyNumberFormat="1" applyFont="1" applyFill="1" applyBorder="1" applyAlignment="1">
      <alignment horizontal="center" vertical="center"/>
    </xf>
    <xf numFmtId="3" fontId="2" fillId="20" borderId="2" xfId="1" applyNumberFormat="1" applyFont="1" applyFill="1" applyBorder="1" applyAlignment="1">
      <alignment horizontal="center" vertical="center"/>
    </xf>
    <xf numFmtId="0" fontId="2" fillId="11" borderId="11" xfId="1" applyFont="1" applyFill="1" applyBorder="1" applyAlignment="1">
      <alignment horizontal="center" vertical="center"/>
    </xf>
    <xf numFmtId="0" fontId="2" fillId="11" borderId="13" xfId="1" applyFont="1" applyFill="1" applyBorder="1" applyAlignment="1">
      <alignment horizontal="center" vertical="center"/>
    </xf>
    <xf numFmtId="0" fontId="2" fillId="11" borderId="2" xfId="1" applyFont="1" applyFill="1" applyBorder="1" applyAlignment="1">
      <alignment horizontal="center" vertical="center"/>
    </xf>
    <xf numFmtId="0" fontId="2" fillId="16" borderId="11" xfId="1" applyFont="1" applyFill="1" applyBorder="1" applyAlignment="1">
      <alignment horizontal="center" vertical="center"/>
    </xf>
    <xf numFmtId="0" fontId="2" fillId="16" borderId="2" xfId="1" applyFont="1" applyFill="1" applyBorder="1" applyAlignment="1">
      <alignment horizontal="center" vertical="center"/>
    </xf>
    <xf numFmtId="0" fontId="2" fillId="0" borderId="18" xfId="1" applyFont="1" applyBorder="1" applyAlignment="1">
      <alignment horizontal="center" vertical="center"/>
    </xf>
    <xf numFmtId="0" fontId="2" fillId="27" borderId="11" xfId="1" applyFont="1" applyFill="1" applyBorder="1" applyAlignment="1">
      <alignment horizontal="center" vertical="center"/>
    </xf>
    <xf numFmtId="0" fontId="2" fillId="27" borderId="2" xfId="1" applyFont="1" applyFill="1" applyBorder="1" applyAlignment="1">
      <alignment horizontal="center" vertical="center"/>
    </xf>
    <xf numFmtId="3" fontId="2" fillId="13" borderId="11" xfId="1" applyNumberFormat="1" applyFont="1" applyFill="1" applyBorder="1" applyAlignment="1">
      <alignment horizontal="center" vertical="center"/>
    </xf>
    <xf numFmtId="3" fontId="2" fillId="13" borderId="2" xfId="1" applyNumberFormat="1" applyFont="1" applyFill="1" applyBorder="1" applyAlignment="1">
      <alignment horizontal="center" vertical="center"/>
    </xf>
    <xf numFmtId="0" fontId="10" fillId="13" borderId="11" xfId="1" applyFont="1" applyFill="1" applyBorder="1" applyAlignment="1">
      <alignment horizontal="center" vertical="center" wrapText="1"/>
    </xf>
    <xf numFmtId="0" fontId="10" fillId="13" borderId="2" xfId="1" applyFont="1" applyFill="1" applyBorder="1" applyAlignment="1">
      <alignment horizontal="center" vertical="center" wrapText="1"/>
    </xf>
    <xf numFmtId="0" fontId="2" fillId="13" borderId="11" xfId="1" applyFont="1" applyFill="1" applyBorder="1" applyAlignment="1">
      <alignment horizontal="center" vertical="center"/>
    </xf>
    <xf numFmtId="0" fontId="2" fillId="13" borderId="2" xfId="1" applyFont="1" applyFill="1" applyBorder="1" applyAlignment="1">
      <alignment horizontal="center" vertical="center"/>
    </xf>
    <xf numFmtId="3" fontId="10" fillId="19" borderId="11" xfId="1" applyNumberFormat="1" applyFont="1" applyFill="1" applyBorder="1" applyAlignment="1">
      <alignment horizontal="center" vertical="center"/>
    </xf>
    <xf numFmtId="3" fontId="10" fillId="19" borderId="2" xfId="1" applyNumberFormat="1" applyFont="1" applyFill="1" applyBorder="1" applyAlignment="1">
      <alignment horizontal="center" vertical="center"/>
    </xf>
    <xf numFmtId="0" fontId="0" fillId="0" borderId="0" xfId="0" applyNumberFormat="1"/>
    <xf numFmtId="0" fontId="2" fillId="0" borderId="0" xfId="0" applyNumberFormat="1" applyFont="1"/>
    <xf numFmtId="0" fontId="2" fillId="0" borderId="0" xfId="1" applyNumberFormat="1" applyFont="1" applyAlignment="1">
      <alignment horizontal="right" vertical="center"/>
    </xf>
    <xf numFmtId="0" fontId="2" fillId="0" borderId="0" xfId="0" applyNumberFormat="1" applyFont="1" applyAlignment="1">
      <alignment horizontal="right" vertical="center"/>
    </xf>
    <xf numFmtId="0" fontId="2" fillId="0" borderId="1" xfId="0" applyNumberFormat="1" applyFont="1" applyBorder="1"/>
  </cellXfs>
  <cellStyles count="6">
    <cellStyle name="Comma" xfId="3" builtinId="3"/>
    <cellStyle name="Comma 2" xfId="5" xr:uid="{8997ACA7-EAEE-4B6B-A7FD-5939247CE761}"/>
    <cellStyle name="Normal" xfId="0" builtinId="0"/>
    <cellStyle name="Normal 2" xfId="1" xr:uid="{4623FB5A-070C-4399-83B4-EB82C136C0A4}"/>
    <cellStyle name="Normal 2 2" xfId="2" xr:uid="{FB9835C7-C18D-4D01-A838-92EAE97FF0F4}"/>
    <cellStyle name="Percent" xfId="4" builtinId="5"/>
  </cellStyles>
  <dxfs count="1155">
    <dxf>
      <numFmt numFmtId="166" formatCode="_(* #,##0_);_(* \(#,##0\);_(* &quot;-&quot;??_);_(@_)"/>
    </dxf>
    <dxf>
      <numFmt numFmtId="168" formatCode="#,##0.0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4" formatCode="0.00%"/>
    </dxf>
    <dxf>
      <numFmt numFmtId="166" formatCode="_(* #,##0_);_(* \(#,##0\);_(* &quot;-&quot;??_);_(@_)"/>
    </dxf>
    <dxf>
      <alignment readingOrder="2"/>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4" formatCode="0.00%"/>
    </dxf>
    <dxf>
      <numFmt numFmtId="166" formatCode="_(* #,##0_);_(* \(#,##0\);_(* &quot;-&quot;??_);_(@_)"/>
    </dxf>
    <dxf>
      <alignment readingOrder="2"/>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8" formatCode="#,##0.0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8" formatCode="#,##0.0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4" formatCode="0.00%"/>
    </dxf>
    <dxf>
      <numFmt numFmtId="166" formatCode="_(* #,##0_);_(* \(#,##0\);_(* &quot;-&quot;??_);_(@_)"/>
    </dxf>
    <dxf>
      <alignment readingOrder="2"/>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4" formatCode="0.00%"/>
    </dxf>
    <dxf>
      <numFmt numFmtId="166" formatCode="_(* #,##0_);_(* \(#,##0\);_(* &quot;-&quot;??_);_(@_)"/>
    </dxf>
    <dxf>
      <alignment readingOrder="2"/>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8" formatCode="#,##0.0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8" formatCode="#,##0.0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4" formatCode="0.00%"/>
    </dxf>
    <dxf>
      <numFmt numFmtId="166" formatCode="_(* #,##0_);_(* \(#,##0\);_(* &quot;-&quot;??_);_(@_)"/>
    </dxf>
    <dxf>
      <alignment readingOrder="2"/>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font>
        <b/>
        <strike val="0"/>
        <outline val="0"/>
        <shadow val="0"/>
        <u val="none"/>
        <vertAlign val="baseline"/>
        <sz val="11"/>
        <color theme="1"/>
        <name val="B Nazanin"/>
        <charset val="178"/>
        <scheme val="none"/>
      </font>
      <numFmt numFmtId="0" formatCode="General"/>
      <alignment horizontal="right" vertical="center" textRotation="0" wrapText="0" indent="0" justifyLastLine="0" shrinkToFit="0" readingOrder="0"/>
    </dxf>
    <dxf>
      <font>
        <b/>
        <strike val="0"/>
        <outline val="0"/>
        <shadow val="0"/>
        <u val="none"/>
        <vertAlign val="baseline"/>
        <sz val="11"/>
        <color theme="1"/>
        <name val="B Nazanin"/>
        <charset val="178"/>
        <scheme val="none"/>
      </font>
      <numFmt numFmtId="166" formatCode="_(* #,##0_);_(* \(#,##0\);_(* &quot;-&quot;??_);_(@_)"/>
      <alignment horizontal="right" vertical="center" textRotation="0" wrapText="0" indent="0" justifyLastLine="0" shrinkToFit="0" readingOrder="0"/>
    </dxf>
    <dxf>
      <font>
        <b/>
        <strike val="0"/>
        <outline val="0"/>
        <shadow val="0"/>
        <u val="none"/>
        <vertAlign val="baseline"/>
        <sz val="11"/>
        <color theme="1"/>
        <name val="B Nazanin"/>
        <charset val="178"/>
        <scheme val="none"/>
      </font>
      <numFmt numFmtId="0" formatCode="General"/>
      <alignment horizontal="right" vertical="center" textRotation="0" wrapText="0" indent="0" justifyLastLine="0" shrinkToFit="0" readingOrder="0"/>
    </dxf>
    <dxf>
      <font>
        <b/>
        <strike val="0"/>
        <outline val="0"/>
        <shadow val="0"/>
        <u val="none"/>
        <vertAlign val="baseline"/>
        <sz val="11"/>
        <color theme="1"/>
        <name val="B Nazanin"/>
        <charset val="178"/>
        <scheme val="none"/>
      </font>
      <alignment horizontal="right" vertical="center" textRotation="0" wrapText="0" indent="0" justifyLastLine="0" shrinkToFit="0" readingOrder="0"/>
    </dxf>
    <dxf>
      <font>
        <b/>
        <strike val="0"/>
        <outline val="0"/>
        <shadow val="0"/>
        <u val="none"/>
        <vertAlign val="baseline"/>
        <sz val="11"/>
        <color theme="1"/>
        <name val="B Nazanin"/>
        <charset val="178"/>
        <scheme val="none"/>
      </font>
      <numFmt numFmtId="166" formatCode="_(* #,##0_);_(* \(#,##0\);_(* &quot;-&quot;??_);_(@_)"/>
      <alignment horizontal="right" vertical="center" textRotation="0" wrapText="0" indent="0" justifyLastLine="0" shrinkToFit="0" readingOrder="0"/>
    </dxf>
    <dxf>
      <numFmt numFmtId="0" formatCode="General"/>
    </dxf>
    <dxf>
      <font>
        <b/>
        <strike val="0"/>
        <outline val="0"/>
        <shadow val="0"/>
        <u val="none"/>
        <vertAlign val="baseline"/>
        <sz val="11"/>
        <color theme="1"/>
        <name val="B Nazanin"/>
        <charset val="178"/>
        <scheme val="none"/>
      </font>
      <numFmt numFmtId="0" formatCode="General"/>
      <alignment horizontal="right" vertical="center" textRotation="0" wrapText="0" indent="0" justifyLastLine="0" shrinkToFit="0" readingOrder="0"/>
    </dxf>
    <dxf>
      <font>
        <b/>
        <strike val="0"/>
        <outline val="0"/>
        <shadow val="0"/>
        <u val="none"/>
        <vertAlign val="baseline"/>
        <sz val="11"/>
        <color theme="1"/>
        <name val="B Nazanin"/>
        <charset val="178"/>
        <scheme val="none"/>
      </font>
      <numFmt numFmtId="0" formatCode="General"/>
      <alignment horizontal="right" vertical="center" textRotation="0" wrapText="0" indent="0" justifyLastLine="0" shrinkToFit="0" readingOrder="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4" formatCode="0.00%"/>
    </dxf>
    <dxf>
      <numFmt numFmtId="166" formatCode="_(* #,##0_);_(* \(#,##0\);_(* &quot;-&quot;??_);_(@_)"/>
    </dxf>
    <dxf>
      <alignment readingOrder="2"/>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8" formatCode="#,##0.0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8" formatCode="#,##0.0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4" formatCode="0.00%"/>
    </dxf>
    <dxf>
      <numFmt numFmtId="166" formatCode="_(* #,##0_);_(* \(#,##0\);_(* &quot;-&quot;??_);_(@_)"/>
    </dxf>
    <dxf>
      <alignment readingOrder="2"/>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4" formatCode="0.00%"/>
    </dxf>
    <dxf>
      <numFmt numFmtId="166" formatCode="_(* #,##0_);_(* \(#,##0\);_(* &quot;-&quot;??_);_(@_)"/>
    </dxf>
    <dxf>
      <alignment readingOrder="2"/>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8" formatCode="#,##0.0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8" formatCode="#,##0.00,,"/>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4" formatCode="0.00%"/>
    </dxf>
    <dxf>
      <numFmt numFmtId="166" formatCode="_(* #,##0_);_(* \(#,##0\);_(* &quot;-&quot;??_);_(@_)"/>
    </dxf>
    <dxf>
      <alignment readingOrder="2"/>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numFmt numFmtId="166" formatCode="_(* #,##0_);_(* \(#,##0\);_(* &quot;-&quot;??_);_(@_)"/>
    </dxf>
    <dxf>
      <numFmt numFmtId="166" formatCode="_(* #,##0_);_(* \(#,##0\);_(* &quot;-&quot;??_);_(@_)"/>
    </dxf>
    <dxf>
      <numFmt numFmtId="166" formatCode="_(* #,##0_);_(* \(#,##0\);_(* &quot;-&quot;??_);_(@_)"/>
    </dxf>
    <dxf>
      <numFmt numFmtId="166" formatCode="_(* #,##0_);_(* \(#,##0\);_(* &quot;-&quot;??_);_(@_)"/>
    </dxf>
    <dxf>
      <numFmt numFmtId="168" formatCode="#,##0.00,,"/>
    </dxf>
    <dxf>
      <numFmt numFmtId="168" formatCode="#,##0.00,,"/>
    </dxf>
    <dxf>
      <numFmt numFmtId="169" formatCode="#,##0,"/>
    </dxf>
    <dxf>
      <numFmt numFmtId="169" formatCode="#,##0,"/>
    </dxf>
    <dxf>
      <numFmt numFmtId="169" formatCode="#,##0,"/>
    </dxf>
    <dxf>
      <numFmt numFmtId="169" formatCode="#,##0,"/>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numFmt numFmtId="166" formatCode="_(* #,##0_);_(* \(#,##0\);_(* &quot;-&quot;??_);_(@_)"/>
    </dxf>
    <dxf>
      <numFmt numFmtId="166" formatCode="_(* #,##0_);_(* \(#,##0\);_(* &quot;-&quot;??_);_(@_)"/>
    </dxf>
    <dxf>
      <numFmt numFmtId="166" formatCode="_(* #,##0_);_(* \(#,##0\);_(* &quot;-&quot;??_);_(@_)"/>
    </dxf>
    <dxf>
      <numFmt numFmtId="170" formatCode="#0.00,"/>
    </dxf>
    <dxf>
      <numFmt numFmtId="170" formatCode="#0.00,"/>
    </dxf>
    <dxf>
      <font>
        <name val="B Nazanin"/>
        <charset val="178"/>
        <scheme val="none"/>
      </font>
    </dxf>
    <dxf>
      <font>
        <name val="B Nazanin"/>
        <charset val="178"/>
        <scheme val="none"/>
      </font>
    </dxf>
    <dxf>
      <font>
        <name val="B Nazanin"/>
        <charset val="178"/>
        <scheme val="none"/>
      </font>
    </dxf>
    <dxf>
      <font>
        <b/>
      </font>
    </dxf>
    <dxf>
      <font>
        <b/>
      </font>
    </dxf>
    <dxf>
      <font>
        <b/>
      </font>
    </dxf>
    <dxf>
      <font>
        <b val="0"/>
        <i val="0"/>
        <strike val="0"/>
        <condense val="0"/>
        <extend val="0"/>
        <outline val="0"/>
        <shadow val="0"/>
        <u val="none"/>
        <vertAlign val="baseline"/>
        <sz val="11"/>
        <color auto="1"/>
        <name val="B Titr"/>
        <charset val="178"/>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bottom/>
        <vertical style="thin">
          <color indexed="64"/>
        </vertical>
        <horizontal style="thin">
          <color indexed="64"/>
        </horizontal>
      </border>
    </dxf>
    <dxf>
      <font>
        <b val="0"/>
        <i val="0"/>
        <strike val="0"/>
        <condense val="0"/>
        <extend val="0"/>
        <outline val="0"/>
        <shadow val="0"/>
        <u val="none"/>
        <vertAlign val="baseline"/>
        <sz val="10"/>
        <color auto="1"/>
        <name val="B Titr"/>
        <charset val="178"/>
        <scheme val="none"/>
      </font>
      <numFmt numFmtId="3" formatCode="#,##0"/>
      <fill>
        <patternFill patternType="solid">
          <fgColor indexed="64"/>
          <bgColor theme="4"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auto="1"/>
        <name val="B Titr"/>
        <charset val="178"/>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B Titr"/>
        <charset val="178"/>
        <scheme val="none"/>
      </font>
      <numFmt numFmtId="3"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auto="1"/>
        <name val="B Titr"/>
        <charset val="178"/>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B Titr"/>
        <charset val="178"/>
        <scheme val="none"/>
      </font>
      <numFmt numFmtId="3" formatCode="#,##0"/>
      <fill>
        <patternFill patternType="solid">
          <fgColor indexed="64"/>
          <bgColor theme="4"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auto="1"/>
        <name val="B Titr"/>
        <charset val="178"/>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B Titr"/>
        <charset val="178"/>
        <scheme val="none"/>
      </font>
      <numFmt numFmtId="3"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auto="1"/>
        <name val="B Titr"/>
        <charset val="178"/>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left style="slantDashDot">
          <color auto="1"/>
        </left>
        <right style="slantDashDot">
          <color auto="1"/>
        </right>
        <top style="slantDashDot">
          <color auto="1"/>
        </top>
        <bottom style="slantDashDot">
          <color auto="1"/>
        </bottom>
        <vertical/>
        <horizontal/>
      </border>
    </dxf>
    <dxf>
      <font>
        <b val="0"/>
        <i val="0"/>
        <strike val="0"/>
        <condense val="0"/>
        <extend val="0"/>
        <outline val="0"/>
        <shadow val="0"/>
        <u val="none"/>
        <vertAlign val="baseline"/>
        <sz val="10"/>
        <color auto="1"/>
        <name val="B Titr"/>
        <charset val="178"/>
        <scheme val="none"/>
      </font>
      <numFmt numFmtId="3" formatCode="#,##0"/>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2"/>
        <color auto="1"/>
        <name val="B Titr"/>
        <charset val="178"/>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B Titr"/>
        <charset val="178"/>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2"/>
        <color auto="1"/>
        <name val="B Titr"/>
        <charset val="178"/>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B Titr"/>
        <charset val="178"/>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indexed="64"/>
        </left>
        <right style="thin">
          <color indexed="64"/>
        </right>
        <top style="medium">
          <color indexed="64"/>
        </top>
        <bottom style="medium">
          <color indexed="64"/>
        </bottom>
      </border>
    </dxf>
    <dxf>
      <border>
        <top style="thin">
          <color indexed="64"/>
        </top>
      </border>
    </dxf>
    <dxf>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border outline="0">
        <right style="thin">
          <color rgb="FF000000"/>
        </right>
      </border>
    </dxf>
    <dxf>
      <font>
        <strike val="0"/>
        <outline val="0"/>
        <shadow val="0"/>
        <u val="none"/>
        <vertAlign val="baseline"/>
        <sz val="10"/>
        <color auto="1"/>
        <name val="B Titr"/>
        <charset val="178"/>
        <scheme val="none"/>
      </font>
    </dxf>
    <dxf>
      <border outline="0">
        <bottom style="thin">
          <color rgb="FF000000"/>
        </bottom>
      </border>
    </dxf>
    <dxf>
      <font>
        <strike val="0"/>
        <outline val="0"/>
        <shadow val="0"/>
        <u val="none"/>
        <vertAlign val="baseline"/>
        <sz val="14"/>
        <color theme="0"/>
        <name val="B Nazanin"/>
        <charset val="178"/>
        <scheme val="none"/>
      </font>
      <fill>
        <patternFill>
          <fgColor indexed="64"/>
          <bgColor theme="1"/>
        </patternFill>
      </fill>
    </dxf>
    <dxf>
      <font>
        <b/>
        <i val="0"/>
        <strike val="0"/>
        <condense val="0"/>
        <extend val="0"/>
        <outline val="0"/>
        <shadow val="0"/>
        <u val="none"/>
        <vertAlign val="baseline"/>
        <sz val="11"/>
        <color theme="1"/>
        <name val="B Nazanin"/>
        <charset val="178"/>
        <scheme val="none"/>
      </font>
      <numFmt numFmtId="172" formatCode="#,##0.000,,"/>
    </dxf>
    <dxf>
      <font>
        <b/>
        <i val="0"/>
        <strike val="0"/>
        <condense val="0"/>
        <extend val="0"/>
        <outline val="0"/>
        <shadow val="0"/>
        <u val="none"/>
        <vertAlign val="baseline"/>
        <sz val="11"/>
        <color theme="1"/>
        <name val="B Nazanin"/>
        <charset val="178"/>
        <scheme val="none"/>
      </font>
    </dxf>
    <dxf>
      <font>
        <b/>
        <i val="0"/>
        <strike val="0"/>
        <condense val="0"/>
        <extend val="0"/>
        <outline val="0"/>
        <shadow val="0"/>
        <u val="none"/>
        <vertAlign val="baseline"/>
        <sz val="11"/>
        <color theme="1"/>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numFmt numFmtId="169" formatCode="#,##0,"/>
    </dxf>
    <dxf>
      <numFmt numFmtId="169" formatCode="#,##0,"/>
    </dxf>
    <dxf>
      <numFmt numFmtId="169" formatCode="#,##0,"/>
    </dxf>
    <dxf>
      <numFmt numFmtId="169" formatCode="#,##0,"/>
    </dxf>
    <dxf>
      <numFmt numFmtId="168" formatCode="#,##0.00,,"/>
    </dxf>
    <dxf>
      <numFmt numFmtId="168" formatCode="#,##0.00,,"/>
    </dxf>
    <dxf>
      <numFmt numFmtId="166" formatCode="_(* #,##0_);_(* \(#,##0\);_(* &quot;-&quot;??_);_(@_)"/>
    </dxf>
    <dxf>
      <numFmt numFmtId="166" formatCode="_(* #,##0_);_(* \(#,##0\);_(* &quot;-&quot;??_);_(@_)"/>
    </dxf>
    <dxf>
      <numFmt numFmtId="166" formatCode="_(* #,##0_);_(* \(#,##0\);_(* &quot;-&quot;??_);_(@_)"/>
    </dxf>
    <dxf>
      <numFmt numFmtId="166" formatCode="_(* #,##0_);_(* \(#,##0\);_(* &quot;-&quot;??_);_(@_)"/>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numFmt numFmtId="170" formatCode="#0.00,"/>
    </dxf>
    <dxf>
      <numFmt numFmtId="170" formatCode="#0.00,"/>
    </dxf>
    <dxf>
      <numFmt numFmtId="166" formatCode="_(* #,##0_);_(* \(#,##0\);_(* &quot;-&quot;??_);_(@_)"/>
    </dxf>
    <dxf>
      <numFmt numFmtId="166" formatCode="_(* #,##0_);_(* \(#,##0\);_(* &quot;-&quot;??_);_(@_)"/>
    </dxf>
    <dxf>
      <numFmt numFmtId="166" formatCode="_(* #,##0_);_(* \(#,##0\);_(* &quot;-&quot;??_);_(@_)"/>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alignment readingOrder="2"/>
    </dxf>
    <dxf>
      <numFmt numFmtId="166" formatCode="_(* #,##0_);_(* \(#,##0\);_(* &quot;-&quot;??_);_(@_)"/>
    </dxf>
    <dxf>
      <numFmt numFmtId="14" formatCode="0.00%"/>
    </dxf>
    <dxf>
      <numFmt numFmtId="166" formatCode="_(* #,##0_);_(* \(#,##0\);_(* &quot;-&quot;??_);_(@_)"/>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name val="B Nazanin"/>
        <charset val="178"/>
        <scheme val="none"/>
      </font>
    </dxf>
    <dxf>
      <font>
        <name val="B Nazanin"/>
        <charset val="178"/>
        <scheme val="none"/>
      </font>
    </dxf>
    <dxf>
      <font>
        <name val="B Nazanin"/>
        <charset val="178"/>
        <scheme val="none"/>
      </font>
    </dxf>
    <dxf>
      <numFmt numFmtId="169" formatCode="#,##0,"/>
    </dxf>
    <dxf>
      <numFmt numFmtId="169" formatCode="#,##0,"/>
    </dxf>
    <dxf>
      <numFmt numFmtId="169" formatCode="#,##0,"/>
    </dxf>
    <dxf>
      <numFmt numFmtId="169" formatCode="#,##0,"/>
    </dxf>
    <dxf>
      <numFmt numFmtId="168" formatCode="#,##0.00,,"/>
    </dxf>
    <dxf>
      <numFmt numFmtId="168" formatCode="#,##0.00,,"/>
    </dxf>
    <dxf>
      <numFmt numFmtId="166" formatCode="_(* #,##0_);_(* \(#,##0\);_(* &quot;-&quot;??_);_(@_)"/>
    </dxf>
    <dxf>
      <numFmt numFmtId="166" formatCode="_(* #,##0_);_(* \(#,##0\);_(* &quot;-&quot;??_);_(@_)"/>
    </dxf>
    <dxf>
      <numFmt numFmtId="166" formatCode="_(* #,##0_);_(* \(#,##0\);_(* &quot;-&quot;??_);_(@_)"/>
    </dxf>
    <dxf>
      <numFmt numFmtId="166" formatCode="_(* #,##0_);_(* \(#,##0\);_(* &quot;-&quot;??_);_(@_)"/>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numFmt numFmtId="168" formatCode="#,##0.00,,"/>
    </dxf>
    <dxf>
      <numFmt numFmtId="166" formatCode="_(* #,##0_);_(* \(#,##0\);_(* &quot;-&quot;??_);_(@_)"/>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b/>
      </font>
    </dxf>
    <dxf>
      <font>
        <b/>
      </font>
    </dxf>
    <dxf>
      <font>
        <b/>
      </font>
    </dxf>
    <dxf>
      <font>
        <b/>
      </font>
    </dxf>
    <dxf>
      <font>
        <b/>
      </font>
    </dxf>
    <dxf>
      <font>
        <name val="B Nazanin"/>
        <charset val="178"/>
        <scheme val="none"/>
      </font>
    </dxf>
    <dxf>
      <font>
        <name val="B Nazanin"/>
        <charset val="178"/>
        <scheme val="none"/>
      </font>
    </dxf>
    <dxf>
      <font>
        <name val="B Nazanin"/>
        <charset val="178"/>
        <scheme val="none"/>
      </font>
    </dxf>
    <dxf>
      <font>
        <name val="B Nazanin"/>
        <charset val="178"/>
        <scheme val="none"/>
      </font>
    </dxf>
    <dxf>
      <font>
        <name val="B Nazanin"/>
        <charset val="178"/>
        <scheme val="none"/>
      </font>
    </dxf>
    <dxf>
      <numFmt numFmtId="166" formatCode="_(* #,##0_);_(* \(#,##0\);_(* &quot;-&quot;??_);_(@_)"/>
    </dxf>
    <dxf>
      <numFmt numFmtId="166" formatCode="_(* #,##0_);_(* \(#,##0\);_(* &quot;-&quot;??_);_(@_)"/>
    </dxf>
    <dxf>
      <font>
        <b/>
        <strike val="0"/>
        <outline val="0"/>
        <shadow val="0"/>
        <u val="none"/>
        <vertAlign val="baseline"/>
        <sz val="11"/>
        <color rgb="FF000000"/>
        <name val="B Nazanin"/>
        <charset val="178"/>
        <scheme val="none"/>
      </font>
      <numFmt numFmtId="3" formatCode="#,##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1"/>
        <color rgb="FF000000"/>
        <name val="B Nazanin"/>
        <charset val="178"/>
        <scheme val="none"/>
      </font>
      <numFmt numFmtId="3" formatCode="#,##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rgb="FF000000"/>
        <name val="B Nazanin"/>
        <charset val="178"/>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rgb="FF000000"/>
        <name val="B Nazanin"/>
        <charset val="178"/>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1"/>
        <color rgb="FF000000"/>
        <name val="B Nazanin"/>
        <charset val="178"/>
        <scheme val="none"/>
      </font>
      <numFmt numFmtId="3" formatCode="#,##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1"/>
        <color theme="1"/>
        <name val="B Nazanin"/>
        <charset val="178"/>
        <scheme val="none"/>
      </font>
      <numFmt numFmtId="3" formatCode="#,##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1"/>
        <color theme="1"/>
        <name val="B Nazanin"/>
        <charset val="178"/>
        <scheme val="none"/>
      </font>
      <numFmt numFmtId="3" formatCode="#,##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1"/>
        <color theme="1"/>
        <name val="B Nazanin"/>
        <charset val="178"/>
        <scheme val="none"/>
      </font>
      <numFmt numFmtId="3" formatCode="#,##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1"/>
        <color theme="1"/>
        <name val="B Nazanin"/>
        <charset val="178"/>
        <scheme val="none"/>
      </font>
      <numFmt numFmtId="3" formatCode="#,##0"/>
      <alignment horizontal="center"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strike val="0"/>
        <outline val="0"/>
        <shadow val="0"/>
        <u val="none"/>
        <vertAlign val="baseline"/>
        <sz val="11"/>
        <color theme="1"/>
        <name val="B Nazanin"/>
        <charset val="178"/>
        <scheme val="none"/>
      </font>
      <numFmt numFmtId="3" formatCode="#,##0"/>
      <alignment horizontal="center"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i val="0"/>
        <strike val="0"/>
        <condense val="0"/>
        <extend val="0"/>
        <outline val="0"/>
        <shadow val="0"/>
        <u val="none"/>
        <vertAlign val="baseline"/>
        <sz val="11"/>
        <color theme="1"/>
        <name val="B Nazanin"/>
        <charset val="178"/>
        <scheme val="none"/>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B Nazanin"/>
        <charset val="178"/>
        <scheme val="none"/>
      </font>
      <numFmt numFmtId="0" formatCode="Genera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1"/>
        <color theme="1"/>
        <name val="B Nazanin"/>
        <charset val="178"/>
        <scheme val="none"/>
      </font>
      <numFmt numFmtId="0" formatCode="General"/>
      <alignment horizontal="righ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strike val="0"/>
        <outline val="0"/>
        <shadow val="0"/>
        <u val="none"/>
        <vertAlign val="baseline"/>
        <sz val="11"/>
        <color theme="1"/>
        <name val="B Nazanin"/>
        <charset val="178"/>
        <scheme val="none"/>
      </font>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strike val="0"/>
        <outline val="0"/>
        <shadow val="0"/>
        <u val="none"/>
        <vertAlign val="baseline"/>
        <sz val="11"/>
        <color rgb="FF000000"/>
        <name val="B Nazanin"/>
        <charset val="178"/>
        <scheme val="none"/>
      </font>
      <alignment horizontal="center" vertical="center" textRotation="0" wrapText="0" indent="0" justifyLastLine="0" shrinkToFit="0" readingOrder="0"/>
    </dxf>
    <dxf>
      <font>
        <b/>
        <strike val="0"/>
        <outline val="0"/>
        <shadow val="0"/>
        <u val="none"/>
        <vertAlign val="baseline"/>
        <sz val="11"/>
        <color theme="1"/>
        <name val="B Nazanin"/>
        <charset val="178"/>
        <scheme val="none"/>
      </font>
      <alignment horizontal="center" vertical="center" textRotation="0" wrapText="0" indent="0" justifyLastLine="0" shrinkToFit="0" readingOrder="0"/>
    </dxf>
    <dxf>
      <font>
        <b/>
        <i val="0"/>
        <strike val="0"/>
        <condense val="0"/>
        <extend val="0"/>
        <outline val="0"/>
        <shadow val="0"/>
        <u val="none"/>
        <vertAlign val="baseline"/>
        <sz val="11"/>
        <color theme="1"/>
        <name val="B Nazanin"/>
        <charset val="178"/>
        <scheme val="none"/>
      </font>
      <fill>
        <patternFill patternType="solid">
          <fgColor indexed="64"/>
          <bgColor theme="0" tint="-0.14999847407452621"/>
        </patternFill>
      </fill>
      <alignment horizontal="left" vertical="center" textRotation="0" wrapText="0" indent="0" justifyLastLine="0" shrinkToFit="0" readingOrder="0"/>
    </dxf>
    <dxf>
      <font>
        <b/>
        <i val="0"/>
        <strike val="0"/>
        <condense val="0"/>
        <extend val="0"/>
        <outline val="0"/>
        <shadow val="0"/>
        <u val="none"/>
        <vertAlign val="baseline"/>
        <sz val="11"/>
        <color theme="1"/>
        <name val="B Nazanin"/>
        <charset val="178"/>
        <scheme val="none"/>
      </font>
      <fill>
        <patternFill patternType="solid">
          <fgColor indexed="64"/>
          <bgColor theme="0" tint="-0.14999847407452621"/>
        </patternFill>
      </fill>
      <alignment horizontal="left" vertical="center" textRotation="0" wrapText="0" indent="0" justifyLastLine="0" shrinkToFit="0" readingOrder="0"/>
    </dxf>
    <dxf>
      <font>
        <b/>
        <i val="0"/>
        <strike val="0"/>
        <condense val="0"/>
        <extend val="0"/>
        <outline val="0"/>
        <shadow val="0"/>
        <u val="none"/>
        <vertAlign val="baseline"/>
        <sz val="11"/>
        <color theme="1"/>
        <name val="B Nazanin"/>
        <charset val="178"/>
        <scheme val="none"/>
      </font>
      <alignment horizontal="center" vertical="center" textRotation="0" wrapText="0" indent="0" justifyLastLine="0" shrinkToFit="0" readingOrder="0"/>
    </dxf>
    <dxf>
      <font>
        <b/>
        <strike val="0"/>
        <outline val="0"/>
        <shadow val="0"/>
        <u val="none"/>
        <vertAlign val="baseline"/>
        <sz val="11"/>
        <color theme="1"/>
        <name val="B Nazanin"/>
        <charset val="178"/>
        <scheme val="none"/>
      </font>
      <alignment horizontal="right" vertical="center" textRotation="0" wrapText="0" indent="0" justifyLastLine="0" shrinkToFit="0" readingOrder="0"/>
    </dxf>
    <dxf>
      <font>
        <b/>
        <i val="0"/>
        <strike val="0"/>
        <condense val="0"/>
        <extend val="0"/>
        <outline val="0"/>
        <shadow val="0"/>
        <u val="none"/>
        <vertAlign val="baseline"/>
        <sz val="11"/>
        <color theme="3"/>
        <name val="B Nazanin"/>
        <charset val="178"/>
        <scheme val="none"/>
      </font>
      <alignment horizontal="center" vertical="center" textRotation="0" wrapText="0" indent="0" justifyLastLine="0" shrinkToFit="0" readingOrder="0"/>
    </dxf>
    <dxf>
      <font>
        <b/>
        <strike val="0"/>
        <outline val="0"/>
        <shadow val="0"/>
        <u val="none"/>
        <vertAlign val="baseline"/>
        <sz val="12"/>
        <color rgb="FF000000"/>
        <name val="B Nazanin"/>
        <charset val="178"/>
        <scheme val="none"/>
      </font>
      <numFmt numFmtId="13" formatCode="0%"/>
      <alignment horizontal="center" vertical="center" textRotation="0" wrapText="0" indent="0" justifyLastLine="0" shrinkToFit="0" readingOrder="0"/>
    </dxf>
    <dxf>
      <font>
        <b/>
        <strike val="0"/>
        <outline val="0"/>
        <shadow val="0"/>
        <u val="none"/>
        <vertAlign val="baseline"/>
        <sz val="12"/>
        <color rgb="FF000000"/>
        <name val="B Nazanin"/>
        <charset val="178"/>
        <scheme val="none"/>
      </font>
      <numFmt numFmtId="0" formatCode="General"/>
      <alignment horizontal="center" vertical="center" textRotation="0" wrapText="0" indent="0" justifyLastLine="0" shrinkToFit="0" readingOrder="0"/>
    </dxf>
    <dxf>
      <font>
        <b/>
        <strike val="0"/>
        <outline val="0"/>
        <shadow val="0"/>
        <u val="none"/>
        <vertAlign val="baseline"/>
        <sz val="12"/>
        <color rgb="FF000000"/>
        <name val="B Nazanin"/>
        <charset val="178"/>
        <scheme val="none"/>
      </font>
      <numFmt numFmtId="0" formatCode="General"/>
      <alignment horizontal="center" vertical="center" textRotation="0" wrapText="0" indent="0" justifyLastLine="0" shrinkToFit="0" readingOrder="0"/>
    </dxf>
    <dxf>
      <font>
        <b/>
        <strike val="0"/>
        <outline val="0"/>
        <shadow val="0"/>
        <u val="none"/>
        <vertAlign val="baseline"/>
        <sz val="12"/>
        <color rgb="FF000000"/>
        <name val="B Nazanin"/>
        <charset val="178"/>
        <scheme val="none"/>
      </font>
      <numFmt numFmtId="0" formatCode="General"/>
      <alignment horizontal="center" vertical="center" textRotation="0" wrapText="0" indent="0" justifyLastLine="0" shrinkToFit="0" readingOrder="0"/>
    </dxf>
    <dxf>
      <font>
        <b/>
        <strike val="0"/>
        <outline val="0"/>
        <shadow val="0"/>
        <u val="none"/>
        <vertAlign val="baseline"/>
        <sz val="12"/>
        <color rgb="FF000000"/>
        <name val="B Nazanin"/>
        <charset val="178"/>
        <scheme val="none"/>
      </font>
      <numFmt numFmtId="165" formatCode="[$-960429]yyyy\/mm\/dd;@"/>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strike val="0"/>
        <outline val="0"/>
        <shadow val="0"/>
        <u val="none"/>
        <vertAlign val="baseline"/>
        <sz val="12"/>
        <color rgb="FF000000"/>
        <name val="B Nazanin"/>
        <charset val="178"/>
        <scheme val="none"/>
      </font>
      <numFmt numFmtId="0" formatCode="General"/>
      <alignment horizontal="center" vertical="center" textRotation="0" wrapText="0" indent="0" justifyLastLine="0" shrinkToFit="0" readingOrder="0"/>
    </dxf>
    <dxf>
      <font>
        <b/>
        <strike val="0"/>
        <outline val="0"/>
        <shadow val="0"/>
        <u val="none"/>
        <vertAlign val="baseline"/>
        <sz val="12"/>
        <color rgb="FF000000"/>
        <name val="B Nazanin"/>
        <charset val="178"/>
        <scheme val="none"/>
      </font>
      <numFmt numFmtId="0" formatCode="General"/>
      <alignment horizontal="center" vertical="center" textRotation="0" wrapText="0" indent="0" justifyLastLine="0" shrinkToFit="0" readingOrder="0"/>
    </dxf>
    <dxf>
      <font>
        <b/>
        <strike val="0"/>
        <outline val="0"/>
        <shadow val="0"/>
        <u val="none"/>
        <vertAlign val="baseline"/>
        <sz val="12"/>
        <color rgb="FF000000"/>
        <name val="B Nazanin"/>
        <charset val="178"/>
        <scheme val="none"/>
      </font>
      <numFmt numFmtId="0" formatCode="General"/>
      <alignment horizontal="center" vertical="center" textRotation="0" wrapText="0" indent="0" justifyLastLine="0" shrinkToFit="0" readingOrder="0"/>
    </dxf>
    <dxf>
      <font>
        <b/>
        <strike val="0"/>
        <outline val="0"/>
        <shadow val="0"/>
        <u val="none"/>
        <vertAlign val="baseline"/>
        <sz val="12"/>
        <color rgb="FF000000"/>
        <name val="B Nazanin"/>
        <charset val="178"/>
        <scheme val="none"/>
      </font>
      <numFmt numFmtId="0" formatCode="General"/>
      <alignment horizontal="center" vertical="center" textRotation="0" wrapText="0" indent="0" justifyLastLine="0" shrinkToFit="0" readingOrder="0"/>
    </dxf>
    <dxf>
      <font>
        <b/>
        <strike val="0"/>
        <outline val="0"/>
        <shadow val="0"/>
        <u val="none"/>
        <vertAlign val="baseline"/>
        <sz val="12"/>
        <color theme="1"/>
        <name val="B Nazanin"/>
        <charset val="178"/>
        <scheme val="none"/>
      </font>
      <numFmt numFmtId="3" formatCode="#,##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strike val="0"/>
        <outline val="0"/>
        <shadow val="0"/>
        <u val="none"/>
        <vertAlign val="baseline"/>
        <sz val="12"/>
        <color theme="1"/>
        <name val="B Nazanin"/>
        <charset val="178"/>
        <scheme val="none"/>
      </font>
      <numFmt numFmtId="3" formatCode="#,##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2"/>
        <color theme="1"/>
        <name val="B Nazanin"/>
        <charset val="178"/>
        <scheme val="none"/>
      </font>
      <numFmt numFmtId="165" formatCode="[$-960429]yyyy\/mm\/dd;@"/>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2"/>
        <color theme="1"/>
        <name val="B Nazanin"/>
        <charset val="178"/>
        <scheme val="none"/>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strike val="0"/>
        <outline val="0"/>
        <shadow val="0"/>
        <u val="none"/>
        <vertAlign val="baseline"/>
        <sz val="12"/>
        <color theme="1"/>
        <name val="B Nazanin"/>
        <charset val="178"/>
        <scheme val="none"/>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strike val="0"/>
        <outline val="0"/>
        <shadow val="0"/>
        <u val="none"/>
        <vertAlign val="baseline"/>
        <sz val="12"/>
        <color theme="1"/>
        <name val="B Nazanin"/>
        <charset val="178"/>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strike val="0"/>
        <outline val="0"/>
        <shadow val="0"/>
        <u val="none"/>
        <vertAlign val="baseline"/>
        <sz val="12"/>
        <color rgb="FF000000"/>
        <name val="B Nazanin"/>
        <charset val="178"/>
        <scheme val="none"/>
      </font>
      <alignment horizontal="center" vertical="center" textRotation="0" wrapText="0" indent="0" justifyLastLine="0" shrinkToFit="0" readingOrder="0"/>
    </dxf>
    <dxf>
      <font>
        <b/>
        <strike val="0"/>
        <outline val="0"/>
        <shadow val="0"/>
        <u val="none"/>
        <vertAlign val="baseline"/>
        <sz val="12"/>
        <color rgb="FFFFFFFF"/>
        <name val="B Nazanin"/>
        <charset val="178"/>
        <scheme val="none"/>
      </font>
      <alignment horizontal="center" vertical="center" textRotation="0" wrapText="0" indent="0" justifyLastLine="0" shrinkToFit="0" readingOrder="0"/>
    </dxf>
    <dxf>
      <numFmt numFmtId="0" formatCode="General"/>
    </dxf>
    <dxf>
      <numFmt numFmtId="0" formatCode="General"/>
    </dxf>
    <dxf>
      <font>
        <b/>
        <name val="B Nazanin"/>
        <charset val="178"/>
        <scheme val="none"/>
      </font>
      <numFmt numFmtId="166" formatCode="_(* #,##0_);_(* \(#,##0\);_(* &quot;-&quot;??_);_(@_)"/>
    </dxf>
    <dxf>
      <font>
        <b/>
        <i val="0"/>
        <strike val="0"/>
        <condense val="0"/>
        <extend val="0"/>
        <outline val="0"/>
        <shadow val="0"/>
        <u val="none"/>
        <vertAlign val="baseline"/>
        <sz val="11"/>
        <color theme="1"/>
        <name val="B Nazanin"/>
        <charset val="178"/>
        <scheme val="none"/>
      </font>
    </dxf>
    <dxf>
      <font>
        <strike val="0"/>
        <outline val="0"/>
        <shadow val="0"/>
        <u val="none"/>
        <vertAlign val="baseline"/>
        <sz val="11"/>
        <color rgb="FFFFFFFF"/>
        <name val="Calibri"/>
        <family val="2"/>
        <charset val="178"/>
        <scheme val="minor"/>
      </font>
    </dxf>
    <dxf>
      <font>
        <b/>
        <i val="0"/>
        <name val="SamanBank"/>
        <charset val="178"/>
        <scheme val="none"/>
      </font>
      <fill>
        <patternFill>
          <bgColor theme="0" tint="-4.9989318521683403E-2"/>
        </patternFill>
      </fill>
      <border diagonalUp="0" diagonalDown="0">
        <left/>
        <right/>
        <top/>
        <bottom/>
        <vertical/>
        <horizontal/>
      </border>
    </dxf>
    <dxf>
      <font>
        <b/>
        <i val="0"/>
        <name val="SamanBank"/>
        <charset val="178"/>
        <scheme val="none"/>
      </font>
      <fill>
        <patternFill>
          <bgColor theme="0" tint="-4.9989318521683403E-2"/>
        </patternFill>
      </fill>
      <border diagonalUp="0" diagonalDown="0">
        <left/>
        <right/>
        <top/>
        <bottom/>
        <vertical/>
        <horizontal/>
      </border>
    </dxf>
    <dxf>
      <font>
        <b/>
        <i val="0"/>
        <name val="SamanBank"/>
        <charset val="178"/>
        <scheme val="none"/>
      </font>
      <fill>
        <patternFill>
          <bgColor theme="0" tint="-4.9989318521683403E-2"/>
        </patternFill>
      </fill>
      <border diagonalUp="0" diagonalDown="0">
        <left/>
        <right/>
        <top/>
        <bottom/>
        <vertical/>
        <horizontal/>
      </border>
    </dxf>
    <dxf>
      <font>
        <b/>
        <i val="0"/>
        <name val="SamanBank"/>
        <charset val="178"/>
        <scheme val="none"/>
      </font>
      <fill>
        <patternFill>
          <bgColor theme="0" tint="-4.9989318521683403E-2"/>
        </patternFill>
      </fill>
      <border diagonalUp="0" diagonalDown="0">
        <left/>
        <right/>
        <top/>
        <bottom/>
        <vertical/>
        <horizontal/>
      </border>
    </dxf>
    <dxf>
      <font>
        <b/>
        <i val="0"/>
        <sz val="11"/>
        <color theme="1"/>
        <name val="Koodak"/>
        <charset val="178"/>
        <scheme val="none"/>
      </font>
      <border>
        <bottom style="thin">
          <color theme="6"/>
        </bottom>
        <vertical/>
        <horizontal/>
      </border>
    </dxf>
    <dxf>
      <font>
        <color theme="1"/>
      </font>
      <fill>
        <patternFill>
          <bgColor theme="2" tint="-9.9948118533890809E-2"/>
        </patternFill>
      </fill>
      <border diagonalUp="0" diagonalDown="0">
        <left/>
        <right/>
        <top/>
        <bottom/>
        <vertical/>
        <horizontal/>
      </border>
    </dxf>
    <dxf>
      <fill>
        <patternFill>
          <bgColor theme="0" tint="-4.9989318521683403E-2"/>
        </patternFill>
      </fill>
    </dxf>
    <dxf>
      <font>
        <color theme="0"/>
      </font>
      <fill>
        <patternFill>
          <bgColor rgb="FF339966"/>
        </patternFill>
      </fill>
    </dxf>
  </dxfs>
  <tableStyles count="6" defaultTableStyle="TableStyleMedium2" defaultPivotStyle="PivotStyleLight16">
    <tableStyle name="CustomTableStyle" pivot="0" count="2" xr9:uid="{DC278539-D8BC-47B7-B2B9-174B738B49FC}">
      <tableStyleElement type="headerRow" dxfId="1154"/>
      <tableStyleElement type="firstRowStripe" dxfId="1153"/>
    </tableStyle>
    <tableStyle name="myslicer" pivot="0" table="0" count="10" xr9:uid="{7C677348-E836-4374-A418-14809BA49339}">
      <tableStyleElement type="wholeTable" dxfId="1152"/>
      <tableStyleElement type="headerRow" dxfId="1151"/>
    </tableStyle>
    <tableStyle name="Slicer Style 1 3" pivot="0" table="0" count="3" xr9:uid="{7B884F42-5141-47D1-8AB7-128373FC6B6C}">
      <tableStyleElement type="wholeTable" dxfId="1150"/>
    </tableStyle>
    <tableStyle name="Slicer Style 1 3 2" pivot="0" table="0" count="3" xr9:uid="{5DDA4879-2901-44E6-A928-72C8585256F1}">
      <tableStyleElement type="wholeTable" dxfId="1149"/>
    </tableStyle>
    <tableStyle name="Slicer Style 1 3 3" pivot="0" table="0" count="3" xr9:uid="{43B71C9B-D357-49D1-9C52-AF82D649F670}">
      <tableStyleElement type="wholeTable" dxfId="1148"/>
    </tableStyle>
    <tableStyle name="Slicer Style 1 3 4" pivot="0" table="0" count="3" xr9:uid="{43122387-54F0-4658-99A0-3C237175FD59}">
      <tableStyleElement type="wholeTable" dxfId="1147"/>
    </tableStyle>
  </tableStyles>
  <colors>
    <mruColors>
      <color rgb="FFFFFFFF"/>
      <color rgb="FF000000"/>
      <color rgb="FFFF0000"/>
      <color rgb="FFD7355F"/>
      <color rgb="FF61D6FF"/>
      <color rgb="FF3A3F44"/>
      <color rgb="FF292A2F"/>
      <color rgb="FF2E3236"/>
      <color rgb="FFBEE2DE"/>
      <color rgb="FFB0BAC0"/>
    </mruColors>
  </colors>
  <extLst>
    <ext xmlns:x14="http://schemas.microsoft.com/office/spreadsheetml/2009/9/main" uri="{46F421CA-312F-682f-3DD2-61675219B42D}">
      <x14:dxfs count="16">
        <dxf>
          <font>
            <b/>
            <i val="0"/>
            <color theme="0"/>
            <name val="SamanBank"/>
            <charset val="178"/>
            <scheme val="none"/>
          </font>
          <fill>
            <patternFill>
              <bgColor theme="2"/>
            </patternFill>
          </fill>
          <border diagonalUp="0" diagonalDown="0">
            <left/>
            <right/>
            <top/>
            <bottom/>
            <vertical/>
            <horizontal/>
          </border>
        </dxf>
        <dxf>
          <font>
            <b/>
            <i val="0"/>
            <name val="SamanBank"/>
            <charset val="178"/>
            <scheme val="none"/>
          </font>
          <fill>
            <patternFill>
              <bgColor theme="3" tint="0.79998168889431442"/>
            </patternFill>
          </fill>
          <border diagonalUp="0" diagonalDown="0">
            <left/>
            <right/>
            <top/>
            <bottom/>
            <vertical/>
            <horizontal/>
          </border>
        </dxf>
        <dxf>
          <font>
            <b/>
            <i val="0"/>
            <color theme="0"/>
            <name val="SamanBank"/>
            <charset val="178"/>
            <scheme val="none"/>
          </font>
          <fill>
            <patternFill>
              <bgColor theme="2"/>
            </patternFill>
          </fill>
          <border diagonalUp="0" diagonalDown="0">
            <left/>
            <right/>
            <top/>
            <bottom/>
            <vertical/>
            <horizontal/>
          </border>
        </dxf>
        <dxf>
          <font>
            <b/>
            <i val="0"/>
            <name val="SamanBank"/>
            <charset val="178"/>
            <scheme val="none"/>
          </font>
          <fill>
            <patternFill>
              <bgColor theme="3" tint="0.79998168889431442"/>
            </patternFill>
          </fill>
          <border diagonalUp="0" diagonalDown="0">
            <left/>
            <right/>
            <top/>
            <bottom/>
            <vertical/>
            <horizontal/>
          </border>
        </dxf>
        <dxf>
          <font>
            <b/>
            <i val="0"/>
            <color theme="0"/>
            <name val="SamanBank"/>
            <charset val="178"/>
            <scheme val="none"/>
          </font>
          <fill>
            <patternFill>
              <bgColor theme="2"/>
            </patternFill>
          </fill>
          <border diagonalUp="0" diagonalDown="0">
            <left/>
            <right/>
            <top/>
            <bottom/>
            <vertical/>
            <horizontal/>
          </border>
        </dxf>
        <dxf>
          <font>
            <b/>
            <i val="0"/>
            <name val="SamanBank"/>
            <charset val="178"/>
            <scheme val="none"/>
          </font>
          <fill>
            <patternFill>
              <bgColor theme="3" tint="0.79998168889431442"/>
            </patternFill>
          </fill>
          <border diagonalUp="0" diagonalDown="0">
            <left/>
            <right/>
            <top/>
            <bottom/>
            <vertical/>
            <horizontal/>
          </border>
        </dxf>
        <dxf>
          <font>
            <b/>
            <i val="0"/>
            <color theme="0"/>
            <name val="SamanBank"/>
            <charset val="178"/>
            <scheme val="none"/>
          </font>
          <fill>
            <patternFill>
              <bgColor theme="2"/>
            </patternFill>
          </fill>
          <border diagonalUp="0" diagonalDown="0">
            <left/>
            <right/>
            <top/>
            <bottom/>
            <vertical/>
            <horizontal/>
          </border>
        </dxf>
        <dxf>
          <font>
            <b/>
            <i val="0"/>
            <name val="SamanBank"/>
            <charset val="178"/>
            <scheme val="none"/>
          </font>
          <fill>
            <patternFill>
              <bgColor theme="3" tint="0.79998168889431442"/>
            </patternFill>
          </fill>
          <border diagonalUp="0" diagonalDown="0">
            <left/>
            <right/>
            <top/>
            <bottom/>
            <vertical/>
            <horizontal/>
          </border>
        </dxf>
        <dxf>
          <font>
            <color rgb="FF000000"/>
            <name val="Nazanin"/>
            <charset val="178"/>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0"/>
            <color rgb="FF000000"/>
            <name val="Koodak"/>
            <charset val="178"/>
            <scheme val="none"/>
          </font>
          <fill>
            <gradientFill degree="90">
              <stop position="0">
                <color rgb="FFF8E162"/>
              </stop>
              <stop position="1">
                <color rgb="FFFCF7E0"/>
              </stop>
            </gradientFill>
          </fill>
          <border diagonalUp="0" diagonalDown="0">
            <left/>
            <right/>
            <top/>
            <bottom/>
            <vertical/>
            <horizontal/>
          </border>
        </dxf>
        <dxf>
          <font>
            <sz val="10"/>
            <color rgb="FF000000"/>
            <name val="Koodak"/>
            <charset val="178"/>
            <scheme val="none"/>
          </font>
          <fill>
            <gradientFill degree="90">
              <stop position="0">
                <color rgb="FFF8E162"/>
              </stop>
              <stop position="1">
                <color rgb="FFFCF7E0"/>
              </stop>
            </gradientFill>
          </fill>
          <border diagonalUp="0" diagonalDown="0">
            <left/>
            <right/>
            <top/>
            <bottom/>
            <vertical/>
            <horizontal/>
          </border>
        </dxf>
        <dxf>
          <font>
            <color theme="6" tint="-0.249977111117893"/>
            <name val="B Nazanin"/>
            <charset val="178"/>
            <scheme val="none"/>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b/>
            <i val="0"/>
            <sz val="11"/>
            <color rgb="FFFFFFFF"/>
            <name val="B Koodak"/>
            <charset val="178"/>
            <scheme val="none"/>
          </font>
          <fill>
            <gradientFill degree="90">
              <stop position="0">
                <color theme="7" tint="-0.25098422193060094"/>
              </stop>
              <stop position="0.5">
                <color theme="7"/>
              </stop>
              <stop position="1">
                <color theme="7" tint="-0.25098422193060094"/>
              </stop>
            </gradientFill>
          </fill>
          <border diagonalUp="0" diagonalDown="0">
            <left/>
            <right/>
            <top/>
            <bottom/>
            <vertical/>
            <horizontal/>
          </border>
        </dxf>
        <dxf>
          <font>
            <color rgb="FF959595"/>
            <name val="Nazanin"/>
            <charset val="178"/>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b/>
            <i val="0"/>
            <sz val="10"/>
            <color rgb="FFFFFFFF"/>
            <name val="B Koodak"/>
            <charset val="178"/>
            <scheme val="none"/>
          </font>
          <fill>
            <patternFill patternType="solid">
              <fgColor rgb="FFC0C0C0"/>
              <bgColor rgb="FF464850"/>
            </patternFill>
          </fill>
          <border diagonalUp="0" diagonalDown="0">
            <left/>
            <right/>
            <top/>
            <bottom/>
            <vertical/>
            <horizontal/>
          </border>
        </dxf>
      </x14:dxfs>
    </ext>
    <ext xmlns:x14="http://schemas.microsoft.com/office/spreadsheetml/2009/9/main" uri="{EB79DEF2-80B8-43e5-95BD-54CBDDF9020C}">
      <x14:slicerStyles defaultSlicerStyle="SlicerStyleLight1">
        <x14:slicerStyle name="myslicer">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 Style 1 3">
          <x14:slicerStyleElements>
            <x14:slicerStyleElement type="unselectedItemWithData" dxfId="7"/>
            <x14:slicerStyleElement type="selectedItemWithData" dxfId="6"/>
          </x14:slicerStyleElements>
        </x14:slicerStyle>
        <x14:slicerStyle name="Slicer Style 1 3 2">
          <x14:slicerStyleElements>
            <x14:slicerStyleElement type="unselectedItemWithData" dxfId="5"/>
            <x14:slicerStyleElement type="selectedItemWithData" dxfId="4"/>
          </x14:slicerStyleElements>
        </x14:slicerStyle>
        <x14:slicerStyle name="Slicer Style 1 3 3">
          <x14:slicerStyleElements>
            <x14:slicerStyleElement type="unselectedItemWithData" dxfId="3"/>
            <x14:slicerStyleElement type="selectedItemWithData" dxfId="2"/>
          </x14:slicerStyleElements>
        </x14:slicerStyle>
        <x14:slicerStyle name="Slicer Style 1 3 4">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openxmlformats.org/officeDocument/2006/relationships/powerPivotData" Target="model/item.data"/><Relationship Id="rId39" Type="http://schemas.openxmlformats.org/officeDocument/2006/relationships/customXml" Target="../customXml/item12.xml"/><Relationship Id="rId21" Type="http://schemas.openxmlformats.org/officeDocument/2006/relationships/theme" Target="theme/theme1.xml"/><Relationship Id="rId34" Type="http://schemas.openxmlformats.org/officeDocument/2006/relationships/customXml" Target="../customXml/item7.xml"/><Relationship Id="rId42" Type="http://schemas.openxmlformats.org/officeDocument/2006/relationships/customXml" Target="../customXml/item15.xml"/><Relationship Id="rId47" Type="http://schemas.openxmlformats.org/officeDocument/2006/relationships/customXml" Target="../customXml/item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9" Type="http://schemas.openxmlformats.org/officeDocument/2006/relationships/customXml" Target="../customXml/item2.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customXml" Target="../customXml/item18.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styles" Target="styles.xml"/><Relationship Id="rId28" Type="http://schemas.openxmlformats.org/officeDocument/2006/relationships/customXml" Target="../customXml/item1.xml"/><Relationship Id="rId36" Type="http://schemas.openxmlformats.org/officeDocument/2006/relationships/customXml" Target="../customXml/item9.xml"/><Relationship Id="rId49" Type="http://schemas.openxmlformats.org/officeDocument/2006/relationships/customXml" Target="../customXml/item22.xml"/><Relationship Id="rId10" Type="http://schemas.openxmlformats.org/officeDocument/2006/relationships/pivotCacheDefinition" Target="pivotCache/pivotCacheDefinition1.xml"/><Relationship Id="rId19" Type="http://schemas.openxmlformats.org/officeDocument/2006/relationships/pivotCacheDefinition" Target="pivotCache/pivotCacheDefinition10.xml"/><Relationship Id="rId31" Type="http://schemas.openxmlformats.org/officeDocument/2006/relationships/customXml" Target="../customXml/item4.xml"/><Relationship Id="rId44"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connections" Target="connections.xml"/><Relationship Id="rId27" Type="http://schemas.openxmlformats.org/officeDocument/2006/relationships/calcChain" Target="calcChain.xml"/><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48" Type="http://schemas.openxmlformats.org/officeDocument/2006/relationships/customXml" Target="../customXml/item2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sheetMetadata" Target="metadata.xml"/><Relationship Id="rId33" Type="http://schemas.openxmlformats.org/officeDocument/2006/relationships/customXml" Target="../customXml/item6.xml"/><Relationship Id="rId38" Type="http://schemas.openxmlformats.org/officeDocument/2006/relationships/customXml" Target="../customXml/item11.xml"/><Relationship Id="rId46" Type="http://schemas.openxmlformats.org/officeDocument/2006/relationships/customXml" Target="../customXml/item19.xml"/><Relationship Id="rId20" Type="http://schemas.microsoft.com/office/2007/relationships/slicerCache" Target="slicerCaches/slicerCache1.xml"/><Relationship Id="rId41"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rgbClr val="69FF69"/>
            </a:solidFill>
            <a:ln>
              <a:solidFill>
                <a:srgbClr val="92D050"/>
              </a:solidFill>
            </a:ln>
            <a:effectLst/>
          </c:spPr>
          <c:invertIfNegative val="0"/>
          <c:dLbls>
            <c:dLbl>
              <c:idx val="0"/>
              <c:layout>
                <c:manualLayout>
                  <c:x val="0.22072337596693203"/>
                  <c:y val="-2.68336692824212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45732408448943884"/>
                      <c:h val="0.42236262805858943"/>
                    </c:manualLayout>
                  </c15:layout>
                </c:ext>
                <c:ext xmlns:c16="http://schemas.microsoft.com/office/drawing/2014/chart" uri="{C3380CC4-5D6E-409C-BE32-E72D297353CC}">
                  <c16:uniqueId val="{00000002-660B-4339-A129-C4009D13888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calc!$AK$7</c:f>
              <c:numCache>
                <c:formatCode>0.0%</c:formatCode>
                <c:ptCount val="1"/>
                <c:pt idx="0">
                  <c:v>0.71492851693369153</c:v>
                </c:pt>
              </c:numCache>
            </c:numRef>
          </c:val>
          <c:extLst>
            <c:ext xmlns:c16="http://schemas.microsoft.com/office/drawing/2014/chart" uri="{C3380CC4-5D6E-409C-BE32-E72D297353CC}">
              <c16:uniqueId val="{00000000-660B-4339-A129-C4009D138887}"/>
            </c:ext>
          </c:extLst>
        </c:ser>
        <c:ser>
          <c:idx val="1"/>
          <c:order val="1"/>
          <c:spPr>
            <a:solidFill>
              <a:srgbClr val="FFFFFF"/>
            </a:solidFill>
            <a:ln>
              <a:solidFill>
                <a:schemeClr val="tx1">
                  <a:lumMod val="50000"/>
                  <a:lumOff val="50000"/>
                </a:schemeClr>
              </a:solidFill>
            </a:ln>
            <a:effectLst/>
          </c:spPr>
          <c:invertIfNegative val="0"/>
          <c:val>
            <c:numRef>
              <c:f>calc!$AL$7</c:f>
              <c:numCache>
                <c:formatCode>0.0%</c:formatCode>
                <c:ptCount val="1"/>
                <c:pt idx="0">
                  <c:v>0.28507148306630847</c:v>
                </c:pt>
              </c:numCache>
            </c:numRef>
          </c:val>
          <c:extLst>
            <c:ext xmlns:c16="http://schemas.microsoft.com/office/drawing/2014/chart" uri="{C3380CC4-5D6E-409C-BE32-E72D297353CC}">
              <c16:uniqueId val="{00000001-660B-4339-A129-C4009D138887}"/>
            </c:ext>
          </c:extLst>
        </c:ser>
        <c:dLbls>
          <c:showLegendKey val="0"/>
          <c:showVal val="0"/>
          <c:showCatName val="0"/>
          <c:showSerName val="0"/>
          <c:showPercent val="0"/>
          <c:showBubbleSize val="0"/>
        </c:dLbls>
        <c:gapWidth val="0"/>
        <c:overlap val="100"/>
        <c:axId val="1752065104"/>
        <c:axId val="508712432"/>
      </c:barChart>
      <c:catAx>
        <c:axId val="1752065104"/>
        <c:scaling>
          <c:orientation val="minMax"/>
        </c:scaling>
        <c:delete val="1"/>
        <c:axPos val="r"/>
        <c:majorTickMark val="out"/>
        <c:minorTickMark val="none"/>
        <c:tickLblPos val="nextTo"/>
        <c:crossAx val="508712432"/>
        <c:crosses val="autoZero"/>
        <c:auto val="1"/>
        <c:lblAlgn val="ctr"/>
        <c:lblOffset val="100"/>
        <c:noMultiLvlLbl val="0"/>
      </c:catAx>
      <c:valAx>
        <c:axId val="508712432"/>
        <c:scaling>
          <c:orientation val="maxMin"/>
          <c:max val="1"/>
          <c:min val="0"/>
        </c:scaling>
        <c:delete val="1"/>
        <c:axPos val="b"/>
        <c:numFmt formatCode="0.0%" sourceLinked="1"/>
        <c:majorTickMark val="out"/>
        <c:minorTickMark val="none"/>
        <c:tickLblPos val="nextTo"/>
        <c:crossAx val="1752065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5571819205405"/>
          <c:y val="9.9047682551520924E-2"/>
          <c:w val="0.6610673103989062"/>
          <c:h val="0.86610631529252158"/>
        </c:manualLayout>
      </c:layout>
      <c:doughnutChart>
        <c:varyColors val="1"/>
        <c:ser>
          <c:idx val="0"/>
          <c:order val="0"/>
          <c:spPr>
            <a:ln>
              <a:noFill/>
            </a:ln>
          </c:spPr>
          <c:dPt>
            <c:idx val="0"/>
            <c:bubble3D val="0"/>
            <c:spPr>
              <a:gradFill flip="none" rotWithShape="1">
                <a:gsLst>
                  <a:gs pos="0">
                    <a:schemeClr val="accent3">
                      <a:lumMod val="50000"/>
                    </a:schemeClr>
                  </a:gs>
                  <a:gs pos="64000">
                    <a:srgbClr val="00DA6D"/>
                  </a:gs>
                  <a:gs pos="35000">
                    <a:srgbClr val="69FF69">
                      <a:shade val="67500"/>
                      <a:satMod val="115000"/>
                    </a:srgbClr>
                  </a:gs>
                  <a:gs pos="100000">
                    <a:srgbClr val="FFC000"/>
                  </a:gs>
                </a:gsLst>
                <a:lin ang="10800000" scaled="1"/>
                <a:tileRect/>
              </a:gradFill>
              <a:ln w="3175">
                <a:solidFill>
                  <a:schemeClr val="tx1">
                    <a:lumMod val="50000"/>
                    <a:lumOff val="50000"/>
                  </a:schemeClr>
                </a:solidFill>
              </a:ln>
              <a:effectLst/>
            </c:spPr>
            <c:extLst>
              <c:ext xmlns:c16="http://schemas.microsoft.com/office/drawing/2014/chart" uri="{C3380CC4-5D6E-409C-BE32-E72D297353CC}">
                <c16:uniqueId val="{00000001-303F-405B-95B6-D25150352B39}"/>
              </c:ext>
            </c:extLst>
          </c:dPt>
          <c:dPt>
            <c:idx val="1"/>
            <c:bubble3D val="0"/>
            <c:spPr>
              <a:gradFill flip="none" rotWithShape="1">
                <a:gsLst>
                  <a:gs pos="0">
                    <a:srgbClr val="DDDDDD">
                      <a:shade val="30000"/>
                      <a:satMod val="115000"/>
                    </a:srgbClr>
                  </a:gs>
                  <a:gs pos="50000">
                    <a:srgbClr val="DDDDDD">
                      <a:shade val="67500"/>
                      <a:satMod val="115000"/>
                    </a:srgbClr>
                  </a:gs>
                  <a:gs pos="100000">
                    <a:srgbClr val="DDDDDD">
                      <a:shade val="100000"/>
                      <a:satMod val="115000"/>
                    </a:srgbClr>
                  </a:gs>
                </a:gsLst>
                <a:lin ang="2700000" scaled="1"/>
                <a:tileRect/>
              </a:gradFill>
              <a:ln w="3175">
                <a:solidFill>
                  <a:schemeClr val="tx1">
                    <a:lumMod val="50000"/>
                    <a:lumOff val="50000"/>
                  </a:schemeClr>
                </a:solidFill>
              </a:ln>
              <a:effectLst/>
            </c:spPr>
            <c:extLst>
              <c:ext xmlns:c16="http://schemas.microsoft.com/office/drawing/2014/chart" uri="{C3380CC4-5D6E-409C-BE32-E72D297353CC}">
                <c16:uniqueId val="{00000003-303F-405B-95B6-D25150352B39}"/>
              </c:ext>
            </c:extLst>
          </c:dPt>
          <c:val>
            <c:numRef>
              <c:f>calc!$U$8:$V$8</c:f>
              <c:numCache>
                <c:formatCode>0.0%</c:formatCode>
                <c:ptCount val="2"/>
                <c:pt idx="0">
                  <c:v>0.36437675004010722</c:v>
                </c:pt>
                <c:pt idx="1">
                  <c:v>0.63562324995989283</c:v>
                </c:pt>
              </c:numCache>
            </c:numRef>
          </c:val>
          <c:extLst>
            <c:ext xmlns:c16="http://schemas.microsoft.com/office/drawing/2014/chart" uri="{C3380CC4-5D6E-409C-BE32-E72D297353CC}">
              <c16:uniqueId val="{00000006-303F-405B-95B6-D25150352B39}"/>
            </c:ext>
          </c:extLst>
        </c:ser>
        <c:dLbls>
          <c:showLegendKey val="0"/>
          <c:showVal val="0"/>
          <c:showCatName val="0"/>
          <c:showSerName val="0"/>
          <c:showPercent val="0"/>
          <c:showBubbleSize val="0"/>
          <c:showLeaderLines val="1"/>
        </c:dLbls>
        <c:firstSliceAng val="270"/>
        <c:holeSize val="68"/>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0738846618368586"/>
          <c:w val="1"/>
          <c:h val="0.62930505181228091"/>
        </c:manualLayout>
      </c:layout>
      <c:barChart>
        <c:barDir val="col"/>
        <c:grouping val="clustered"/>
        <c:varyColors val="0"/>
        <c:ser>
          <c:idx val="0"/>
          <c:order val="0"/>
          <c:tx>
            <c:strRef>
              <c:f>calc!$BU$7</c:f>
              <c:strCache>
                <c:ptCount val="1"/>
                <c:pt idx="0">
                  <c:v>میزان سفارش(هزار تن)</c:v>
                </c:pt>
              </c:strCache>
            </c:strRef>
          </c:tx>
          <c:spPr>
            <a:solidFill>
              <a:schemeClr val="bg2"/>
            </a:solidFill>
            <a:ln w="38100">
              <a:solidFill>
                <a:schemeClr val="bg2"/>
              </a:solidFill>
            </a:ln>
            <a:effectLst/>
          </c:spPr>
          <c:invertIfNegative val="0"/>
          <c:dLbls>
            <c:dLbl>
              <c:idx val="0"/>
              <c:tx>
                <c:rich>
                  <a:bodyPr/>
                  <a:lstStyle/>
                  <a:p>
                    <a:fld id="{434B4264-A014-4B9A-8EDE-E636DC562BEB}"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0C-4CF3-AC9C-6B662B40ECD0}"/>
                </c:ext>
              </c:extLst>
            </c:dLbl>
            <c:dLbl>
              <c:idx val="1"/>
              <c:tx>
                <c:rich>
                  <a:bodyPr/>
                  <a:lstStyle/>
                  <a:p>
                    <a:fld id="{24B7DC4B-CD95-415C-BBC5-FDF1F6E3AF4E}"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0C-4CF3-AC9C-6B662B40ECD0}"/>
                </c:ext>
              </c:extLst>
            </c:dLbl>
            <c:dLbl>
              <c:idx val="2"/>
              <c:tx>
                <c:rich>
                  <a:bodyPr/>
                  <a:lstStyle/>
                  <a:p>
                    <a:fld id="{43D82DA4-261E-48F8-9915-57FF5EA4AD81}"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0C-4CF3-AC9C-6B662B40ECD0}"/>
                </c:ext>
              </c:extLst>
            </c:dLbl>
            <c:dLbl>
              <c:idx val="3"/>
              <c:tx>
                <c:rich>
                  <a:bodyPr/>
                  <a:lstStyle/>
                  <a:p>
                    <a:fld id="{FF89F160-2C46-4CC4-906D-4EF03FBF7021}"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0C-4CF3-AC9C-6B662B40ECD0}"/>
                </c:ext>
              </c:extLst>
            </c:dLbl>
            <c:dLbl>
              <c:idx val="4"/>
              <c:tx>
                <c:rich>
                  <a:bodyPr/>
                  <a:lstStyle/>
                  <a:p>
                    <a:fld id="{74100806-E85F-4395-A7A0-564C78987B8C}"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0C-4CF3-AC9C-6B662B40ECD0}"/>
                </c:ext>
              </c:extLst>
            </c:dLbl>
            <c:dLbl>
              <c:idx val="5"/>
              <c:tx>
                <c:rich>
                  <a:bodyPr/>
                  <a:lstStyle/>
                  <a:p>
                    <a:fld id="{20739575-D0AF-46D4-B2C1-C33C016E84EA}"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0C-4CF3-AC9C-6B662B40ECD0}"/>
                </c:ext>
              </c:extLst>
            </c:dLbl>
            <c:dLbl>
              <c:idx val="6"/>
              <c:tx>
                <c:rich>
                  <a:bodyPr/>
                  <a:lstStyle/>
                  <a:p>
                    <a:fld id="{37830515-AD4B-49CF-926A-FC773B8CA485}"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90C-4CF3-AC9C-6B662B40ECD0}"/>
                </c:ext>
              </c:extLst>
            </c:dLbl>
            <c:dLbl>
              <c:idx val="7"/>
              <c:tx>
                <c:rich>
                  <a:bodyPr/>
                  <a:lstStyle/>
                  <a:p>
                    <a:fld id="{6464D2AD-5A18-4F6C-9495-1701D7574A56}"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90C-4CF3-AC9C-6B662B40ECD0}"/>
                </c:ext>
              </c:extLst>
            </c:dLbl>
            <c:dLbl>
              <c:idx val="8"/>
              <c:tx>
                <c:rich>
                  <a:bodyPr/>
                  <a:lstStyle/>
                  <a:p>
                    <a:fld id="{E1D16083-7FB9-4A02-B6D0-3D08D1D6B389}"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90C-4CF3-AC9C-6B662B40ECD0}"/>
                </c:ext>
              </c:extLst>
            </c:dLbl>
            <c:dLbl>
              <c:idx val="9"/>
              <c:tx>
                <c:rich>
                  <a:bodyPr/>
                  <a:lstStyle/>
                  <a:p>
                    <a:fld id="{6FF6137D-6C51-4245-B97A-940D83D8FE57}"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90C-4CF3-AC9C-6B662B40ECD0}"/>
                </c:ext>
              </c:extLst>
            </c:dLbl>
            <c:dLbl>
              <c:idx val="10"/>
              <c:tx>
                <c:rich>
                  <a:bodyPr/>
                  <a:lstStyle/>
                  <a:p>
                    <a:fld id="{0B8F8F72-09CA-45B2-9016-D2FE58D78547}"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90C-4CF3-AC9C-6B662B40ECD0}"/>
                </c:ext>
              </c:extLst>
            </c:dLbl>
            <c:dLbl>
              <c:idx val="11"/>
              <c:tx>
                <c:rich>
                  <a:bodyPr/>
                  <a:lstStyle/>
                  <a:p>
                    <a:fld id="{D1B2DC7B-839D-4689-A959-C67B55E83564}"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90C-4CF3-AC9C-6B662B40ECD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FFFF"/>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calc!$BT$8:$BT$19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calc!$BU$8:$BU$19</c:f>
              <c:numCache>
                <c:formatCode>##,##0.00,,</c:formatCode>
                <c:ptCount val="12"/>
                <c:pt idx="0">
                  <c:v>6000</c:v>
                </c:pt>
                <c:pt idx="1">
                  <c:v>11347690</c:v>
                </c:pt>
                <c:pt idx="2">
                  <c:v>1282945</c:v>
                </c:pt>
                <c:pt idx="3">
                  <c:v>500000</c:v>
                </c:pt>
                <c:pt idx="4">
                  <c:v>320000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calc!$BU$8:$BU$19</c15:f>
                <c15:dlblRangeCache>
                  <c:ptCount val="12"/>
                  <c:pt idx="0">
                    <c:v>0.01</c:v>
                  </c:pt>
                  <c:pt idx="1">
                    <c:v>11.35</c:v>
                  </c:pt>
                  <c:pt idx="2">
                    <c:v>1.28</c:v>
                  </c:pt>
                  <c:pt idx="3">
                    <c:v>0.50</c:v>
                  </c:pt>
                  <c:pt idx="4">
                    <c:v>0.32</c:v>
                  </c:pt>
                </c15:dlblRangeCache>
              </c15:datalabelsRange>
            </c:ext>
            <c:ext xmlns:c16="http://schemas.microsoft.com/office/drawing/2014/chart" uri="{C3380CC4-5D6E-409C-BE32-E72D297353CC}">
              <c16:uniqueId val="{00000000-590C-4CF3-AC9C-6B662B40ECD0}"/>
            </c:ext>
          </c:extLst>
        </c:ser>
        <c:ser>
          <c:idx val="2"/>
          <c:order val="1"/>
          <c:tx>
            <c:strRef>
              <c:f>calc!$BW$7</c:f>
              <c:strCache>
                <c:ptCount val="1"/>
                <c:pt idx="0">
                  <c:v>مانده تعهدات</c:v>
                </c:pt>
              </c:strCache>
            </c:strRef>
          </c:tx>
          <c:spPr>
            <a:solidFill>
              <a:schemeClr val="accent2"/>
            </a:solidFill>
            <a:ln w="28575">
              <a:solidFill>
                <a:srgbClr val="CD354E"/>
              </a:solidFill>
            </a:ln>
            <a:effectLst/>
          </c:spPr>
          <c:invertIfNegative val="0"/>
          <c:dLbls>
            <c:dLbl>
              <c:idx val="0"/>
              <c:tx>
                <c:rich>
                  <a:bodyPr/>
                  <a:lstStyle/>
                  <a:p>
                    <a:fld id="{3B893A77-66DA-45DA-9944-318A71941101}" type="CELLRANGE">
                      <a:rPr lang="fa-IR" b="0" u="none">
                        <a:solidFill>
                          <a:srgbClr val="FFFF00"/>
                        </a:solidFill>
                      </a:rP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90C-4CF3-AC9C-6B662B40ECD0}"/>
                </c:ext>
              </c:extLst>
            </c:dLbl>
            <c:dLbl>
              <c:idx val="1"/>
              <c:layout>
                <c:manualLayout>
                  <c:x val="2.4745467536382171E-3"/>
                  <c:y val="-9.8421001646808101E-2"/>
                </c:manualLayout>
              </c:layout>
              <c:tx>
                <c:rich>
                  <a:bodyPr rot="0" spcFirstLastPara="1" vertOverflow="ellipsis" vert="horz" wrap="square" lIns="38100" tIns="19050" rIns="38100" bIns="19050" anchor="ctr" anchorCtr="1">
                    <a:spAutoFit/>
                  </a:bodyPr>
                  <a:lstStyle/>
                  <a:p>
                    <a:pPr>
                      <a:defRPr lang="fa-IR" sz="1050" b="1" i="0" u="none" strike="noStrike" kern="1200" baseline="0">
                        <a:solidFill>
                          <a:srgbClr val="FFFF00"/>
                        </a:solidFill>
                        <a:latin typeface="+mn-lt"/>
                        <a:ea typeface="+mn-ea"/>
                        <a:cs typeface="+mn-cs"/>
                      </a:defRPr>
                    </a:pPr>
                    <a:fld id="{4FB60456-C6EB-4C9B-8ACF-B074B7A582BE}" type="CELLRANGE">
                      <a:rPr lang="fa-IR"/>
                      <a:pPr>
                        <a:defRPr lang="fa-IR" sz="1050" b="1">
                          <a:solidFill>
                            <a:srgbClr val="FFFF00"/>
                          </a:solidFill>
                        </a:defRPr>
                      </a:pPr>
                      <a:t>[CELLRANGE]</a:t>
                    </a:fld>
                    <a:endParaRPr lang="fa-IR"/>
                  </a:p>
                </c:rich>
              </c:tx>
              <c:spPr>
                <a:noFill/>
                <a:ln>
                  <a:noFill/>
                </a:ln>
                <a:effectLst/>
              </c:spPr>
              <c:txPr>
                <a:bodyPr rot="0" spcFirstLastPara="1" vertOverflow="ellipsis" vert="horz" wrap="square" lIns="38100" tIns="19050" rIns="38100" bIns="19050" anchor="ctr" anchorCtr="1">
                  <a:spAutoFit/>
                </a:bodyPr>
                <a:lstStyle/>
                <a:p>
                  <a:pPr>
                    <a:defRPr lang="fa-IR" sz="1050" b="1" i="0" u="none" strike="noStrike" kern="1200" baseline="0">
                      <a:solidFill>
                        <a:srgbClr val="FFFF00"/>
                      </a:solidFill>
                      <a:latin typeface="+mn-lt"/>
                      <a:ea typeface="+mn-ea"/>
                      <a:cs typeface="+mn-cs"/>
                    </a:defRPr>
                  </a:pPr>
                  <a:endParaRPr lang="fa-IR"/>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90C-4CF3-AC9C-6B662B40ECD0}"/>
                </c:ext>
              </c:extLst>
            </c:dLbl>
            <c:dLbl>
              <c:idx val="2"/>
              <c:tx>
                <c:rich>
                  <a:bodyPr rot="0" spcFirstLastPara="1" vertOverflow="ellipsis" vert="horz" wrap="square" lIns="38100" tIns="19050" rIns="38100" bIns="19050" anchor="ctr" anchorCtr="0">
                    <a:spAutoFit/>
                  </a:bodyPr>
                  <a:lstStyle/>
                  <a:p>
                    <a:pPr algn="ctr" rtl="1">
                      <a:defRPr lang="en-US" sz="1050" b="1" i="0" u="none" strike="noStrike" kern="1200" baseline="0">
                        <a:solidFill>
                          <a:srgbClr val="FFFF00"/>
                        </a:solidFill>
                        <a:latin typeface="+mn-lt"/>
                        <a:ea typeface="+mn-ea"/>
                        <a:cs typeface="+mn-cs"/>
                      </a:defRPr>
                    </a:pPr>
                    <a:fld id="{D2F206D2-9F7B-4B8E-8115-88E434E0F952}" type="CELLRANGE">
                      <a:rPr lang="fa-IR"/>
                      <a:pPr algn="ctr" rtl="1">
                        <a:defRPr lang="en-US" sz="1050" b="1">
                          <a:solidFill>
                            <a:srgbClr val="FFFF00"/>
                          </a:solidFill>
                        </a:defRPr>
                      </a:pPr>
                      <a:t>[CELLRANGE]</a:t>
                    </a:fld>
                    <a:endParaRPr lang="fa-IR"/>
                  </a:p>
                </c:rich>
              </c:tx>
              <c:spPr>
                <a:noFill/>
                <a:ln>
                  <a:noFill/>
                </a:ln>
                <a:effectLst/>
              </c:spPr>
              <c:txPr>
                <a:bodyPr rot="0" spcFirstLastPara="1" vertOverflow="ellipsis" vert="horz" wrap="square" lIns="38100" tIns="19050" rIns="38100" bIns="19050" anchor="ctr" anchorCtr="0">
                  <a:spAutoFit/>
                </a:bodyPr>
                <a:lstStyle/>
                <a:p>
                  <a:pPr algn="ctr" rtl="1">
                    <a:defRPr lang="en-US" sz="1050" b="1" i="0" u="none" strike="noStrike" kern="1200" baseline="0">
                      <a:solidFill>
                        <a:srgbClr val="FFFF00"/>
                      </a:solidFill>
                      <a:latin typeface="+mn-lt"/>
                      <a:ea typeface="+mn-ea"/>
                      <a:cs typeface="+mn-cs"/>
                    </a:defRPr>
                  </a:pPr>
                  <a:endParaRPr lang="fa-I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90C-4CF3-AC9C-6B662B40ECD0}"/>
                </c:ext>
              </c:extLst>
            </c:dLbl>
            <c:dLbl>
              <c:idx val="3"/>
              <c:tx>
                <c:rich>
                  <a:bodyPr/>
                  <a:lstStyle/>
                  <a:p>
                    <a:fld id="{375A33A9-79E5-4E2D-B81F-7D486220EC44}"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90C-4CF3-AC9C-6B662B40ECD0}"/>
                </c:ext>
              </c:extLst>
            </c:dLbl>
            <c:dLbl>
              <c:idx val="4"/>
              <c:tx>
                <c:rich>
                  <a:bodyPr/>
                  <a:lstStyle/>
                  <a:p>
                    <a:fld id="{9C9C0B92-AEC4-457D-891E-D08855ED4984}"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90C-4CF3-AC9C-6B662B40ECD0}"/>
                </c:ext>
              </c:extLst>
            </c:dLbl>
            <c:dLbl>
              <c:idx val="5"/>
              <c:tx>
                <c:rich>
                  <a:bodyPr/>
                  <a:lstStyle/>
                  <a:p>
                    <a:fld id="{77BD3825-E1A6-41EA-BD79-D42F2085A7C9}"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90C-4CF3-AC9C-6B662B40ECD0}"/>
                </c:ext>
              </c:extLst>
            </c:dLbl>
            <c:dLbl>
              <c:idx val="6"/>
              <c:tx>
                <c:rich>
                  <a:bodyPr/>
                  <a:lstStyle/>
                  <a:p>
                    <a:fld id="{1978B5DE-2248-4C27-AA69-54BAA27E56D4}"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90C-4CF3-AC9C-6B662B40ECD0}"/>
                </c:ext>
              </c:extLst>
            </c:dLbl>
            <c:dLbl>
              <c:idx val="7"/>
              <c:tx>
                <c:rich>
                  <a:bodyPr/>
                  <a:lstStyle/>
                  <a:p>
                    <a:fld id="{3BBED17D-9812-424C-A1F7-70BEC17F7A30}"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90C-4CF3-AC9C-6B662B40ECD0}"/>
                </c:ext>
              </c:extLst>
            </c:dLbl>
            <c:dLbl>
              <c:idx val="8"/>
              <c:tx>
                <c:rich>
                  <a:bodyPr/>
                  <a:lstStyle/>
                  <a:p>
                    <a:fld id="{E6CC6FE6-35D1-4EB8-A7C8-D6EB0B73891E}"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90C-4CF3-AC9C-6B662B40ECD0}"/>
                </c:ext>
              </c:extLst>
            </c:dLbl>
            <c:dLbl>
              <c:idx val="9"/>
              <c:tx>
                <c:rich>
                  <a:bodyPr/>
                  <a:lstStyle/>
                  <a:p>
                    <a:fld id="{5401FF4E-84B8-403F-B0C3-986FE2012189}"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90C-4CF3-AC9C-6B662B40ECD0}"/>
                </c:ext>
              </c:extLst>
            </c:dLbl>
            <c:dLbl>
              <c:idx val="10"/>
              <c:tx>
                <c:rich>
                  <a:bodyPr/>
                  <a:lstStyle/>
                  <a:p>
                    <a:fld id="{88EF63DC-B882-43B2-9D26-8FFD688B54AF}"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90C-4CF3-AC9C-6B662B40ECD0}"/>
                </c:ext>
              </c:extLst>
            </c:dLbl>
            <c:dLbl>
              <c:idx val="11"/>
              <c:tx>
                <c:rich>
                  <a:bodyPr/>
                  <a:lstStyle/>
                  <a:p>
                    <a:fld id="{EF96A633-E89A-4313-8747-7A615C84E834}"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90C-4CF3-AC9C-6B662B40ECD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FF0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calc!$BT$8:$BT$19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calc!$BW$8:$BW$19</c:f>
              <c:numCache>
                <c:formatCode>##,##0.00,,</c:formatCode>
                <c:ptCount val="12"/>
                <c:pt idx="0">
                  <c:v>10728525</c:v>
                </c:pt>
                <c:pt idx="1">
                  <c:v>9385000</c:v>
                </c:pt>
                <c:pt idx="2">
                  <c:v>18431635</c:v>
                </c:pt>
                <c:pt idx="3">
                  <c:v>17790075</c:v>
                </c:pt>
                <c:pt idx="4">
                  <c:v>16834870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calc!$BW$8:$BW$19</c15:f>
                <c15:dlblRangeCache>
                  <c:ptCount val="12"/>
                  <c:pt idx="0">
                    <c:v>10.73</c:v>
                  </c:pt>
                  <c:pt idx="1">
                    <c:v>9.39</c:v>
                  </c:pt>
                  <c:pt idx="2">
                    <c:v>18.43</c:v>
                  </c:pt>
                  <c:pt idx="3">
                    <c:v>17.79</c:v>
                  </c:pt>
                  <c:pt idx="4">
                    <c:v>16.83</c:v>
                  </c:pt>
                </c15:dlblRangeCache>
              </c15:datalabelsRange>
            </c:ext>
            <c:ext xmlns:c16="http://schemas.microsoft.com/office/drawing/2014/chart" uri="{C3380CC4-5D6E-409C-BE32-E72D297353CC}">
              <c16:uniqueId val="{00000002-590C-4CF3-AC9C-6B662B40ECD0}"/>
            </c:ext>
          </c:extLst>
        </c:ser>
        <c:ser>
          <c:idx val="1"/>
          <c:order val="2"/>
          <c:tx>
            <c:strRef>
              <c:f>calc!$BV$7</c:f>
              <c:strCache>
                <c:ptCount val="1"/>
                <c:pt idx="0">
                  <c:v>میزان بارگیری شده(هزار تن)</c:v>
                </c:pt>
              </c:strCache>
            </c:strRef>
          </c:tx>
          <c:spPr>
            <a:solidFill>
              <a:schemeClr val="accent3">
                <a:lumMod val="60000"/>
                <a:lumOff val="40000"/>
              </a:schemeClr>
            </a:solidFill>
            <a:ln w="28575">
              <a:solidFill>
                <a:srgbClr val="69FF69"/>
              </a:solidFill>
            </a:ln>
            <a:effectLst/>
          </c:spPr>
          <c:invertIfNegative val="0"/>
          <c:dLbls>
            <c:dLbl>
              <c:idx val="0"/>
              <c:tx>
                <c:rich>
                  <a:bodyPr/>
                  <a:lstStyle/>
                  <a:p>
                    <a:fld id="{70960865-327C-4527-8A62-8ED1F398C9C3}"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90C-4CF3-AC9C-6B662B40ECD0}"/>
                </c:ext>
              </c:extLst>
            </c:dLbl>
            <c:dLbl>
              <c:idx val="1"/>
              <c:tx>
                <c:rich>
                  <a:bodyPr/>
                  <a:lstStyle/>
                  <a:p>
                    <a:fld id="{E2CD48D3-AC26-4357-ADCA-39D0B1257FC2}"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90C-4CF3-AC9C-6B662B40ECD0}"/>
                </c:ext>
              </c:extLst>
            </c:dLbl>
            <c:dLbl>
              <c:idx val="2"/>
              <c:tx>
                <c:rich>
                  <a:bodyPr/>
                  <a:lstStyle/>
                  <a:p>
                    <a:fld id="{484E8A13-4566-4B30-8803-5C461A7852EE}"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90C-4CF3-AC9C-6B662B40ECD0}"/>
                </c:ext>
              </c:extLst>
            </c:dLbl>
            <c:dLbl>
              <c:idx val="3"/>
              <c:tx>
                <c:rich>
                  <a:bodyPr/>
                  <a:lstStyle/>
                  <a:p>
                    <a:fld id="{D9E872C1-728D-41FA-9B64-B20C800CA2D8}"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90C-4CF3-AC9C-6B662B40ECD0}"/>
                </c:ext>
              </c:extLst>
            </c:dLbl>
            <c:dLbl>
              <c:idx val="4"/>
              <c:tx>
                <c:rich>
                  <a:bodyPr/>
                  <a:lstStyle/>
                  <a:p>
                    <a:fld id="{44BFB7DA-CA39-4AA3-A03B-9812F621CB20}"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90C-4CF3-AC9C-6B662B40ECD0}"/>
                </c:ext>
              </c:extLst>
            </c:dLbl>
            <c:dLbl>
              <c:idx val="5"/>
              <c:tx>
                <c:rich>
                  <a:bodyPr/>
                  <a:lstStyle/>
                  <a:p>
                    <a:fld id="{49370536-F33B-408D-997C-8C54213E5065}"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90C-4CF3-AC9C-6B662B40ECD0}"/>
                </c:ext>
              </c:extLst>
            </c:dLbl>
            <c:dLbl>
              <c:idx val="6"/>
              <c:tx>
                <c:rich>
                  <a:bodyPr/>
                  <a:lstStyle/>
                  <a:p>
                    <a:fld id="{15800A8B-0E31-4348-9386-76F4DD24E2E6}"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90C-4CF3-AC9C-6B662B40ECD0}"/>
                </c:ext>
              </c:extLst>
            </c:dLbl>
            <c:dLbl>
              <c:idx val="7"/>
              <c:tx>
                <c:rich>
                  <a:bodyPr/>
                  <a:lstStyle/>
                  <a:p>
                    <a:fld id="{92009A60-9BA7-436C-A26F-4833E2DC4438}"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90C-4CF3-AC9C-6B662B40ECD0}"/>
                </c:ext>
              </c:extLst>
            </c:dLbl>
            <c:dLbl>
              <c:idx val="8"/>
              <c:tx>
                <c:rich>
                  <a:bodyPr/>
                  <a:lstStyle/>
                  <a:p>
                    <a:fld id="{027A2F9C-C014-4B84-9251-35DDD2B9AA50}"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90C-4CF3-AC9C-6B662B40ECD0}"/>
                </c:ext>
              </c:extLst>
            </c:dLbl>
            <c:dLbl>
              <c:idx val="9"/>
              <c:tx>
                <c:rich>
                  <a:bodyPr/>
                  <a:lstStyle/>
                  <a:p>
                    <a:fld id="{BB1F3BE2-BDFD-4779-AA4B-269CCF628BBD}"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90C-4CF3-AC9C-6B662B40ECD0}"/>
                </c:ext>
              </c:extLst>
            </c:dLbl>
            <c:dLbl>
              <c:idx val="10"/>
              <c:tx>
                <c:rich>
                  <a:bodyPr/>
                  <a:lstStyle/>
                  <a:p>
                    <a:fld id="{35C0B7DD-90BA-45E7-B7DD-700A0310B434}"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90C-4CF3-AC9C-6B662B40ECD0}"/>
                </c:ext>
              </c:extLst>
            </c:dLbl>
            <c:dLbl>
              <c:idx val="11"/>
              <c:tx>
                <c:rich>
                  <a:bodyPr/>
                  <a:lstStyle/>
                  <a:p>
                    <a:fld id="{2F22517D-70FB-492C-B3DA-EA0D5BE4CA2E}" type="CELLRANGE">
                      <a:rPr lang="fa-IR"/>
                      <a:pPr/>
                      <a:t>[CELLRANGE]</a:t>
                    </a:fld>
                    <a:endParaRPr lang="fa-I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90C-4CF3-AC9C-6B662B40ECD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60000"/>
                        <a:lumOff val="4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calc!$BT$8:$BT$19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calc!$BV$8:$BV$19</c:f>
              <c:numCache>
                <c:formatCode>##,##0.00,,</c:formatCode>
                <c:ptCount val="12"/>
                <c:pt idx="0">
                  <c:v>1349525</c:v>
                </c:pt>
                <c:pt idx="1">
                  <c:v>2301055</c:v>
                </c:pt>
                <c:pt idx="2">
                  <c:v>1924505</c:v>
                </c:pt>
                <c:pt idx="3">
                  <c:v>1455205</c:v>
                </c:pt>
                <c:pt idx="4">
                  <c:v>1782220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calc!$BV$8:$BV$19</c15:f>
                <c15:dlblRangeCache>
                  <c:ptCount val="12"/>
                  <c:pt idx="0">
                    <c:v>1.35</c:v>
                  </c:pt>
                  <c:pt idx="1">
                    <c:v>2.30</c:v>
                  </c:pt>
                  <c:pt idx="2">
                    <c:v>1.92</c:v>
                  </c:pt>
                  <c:pt idx="3">
                    <c:v>1.46</c:v>
                  </c:pt>
                  <c:pt idx="4">
                    <c:v>1.78</c:v>
                  </c:pt>
                </c15:dlblRangeCache>
              </c15:datalabelsRange>
            </c:ext>
            <c:ext xmlns:c16="http://schemas.microsoft.com/office/drawing/2014/chart" uri="{C3380CC4-5D6E-409C-BE32-E72D297353CC}">
              <c16:uniqueId val="{00000001-590C-4CF3-AC9C-6B662B40ECD0}"/>
            </c:ext>
          </c:extLst>
        </c:ser>
        <c:dLbls>
          <c:showLegendKey val="0"/>
          <c:showVal val="1"/>
          <c:showCatName val="0"/>
          <c:showSerName val="0"/>
          <c:showPercent val="0"/>
          <c:showBubbleSize val="0"/>
        </c:dLbls>
        <c:gapWidth val="142"/>
        <c:axId val="142656064"/>
        <c:axId val="1944117424"/>
      </c:barChart>
      <c:lineChart>
        <c:grouping val="standard"/>
        <c:varyColors val="0"/>
        <c:ser>
          <c:idx val="3"/>
          <c:order val="3"/>
          <c:tx>
            <c:strRef>
              <c:f>calc!$BX$7</c:f>
              <c:strCache>
                <c:ptCount val="1"/>
                <c:pt idx="0">
                  <c:v>تعداد پیش فاکتور</c:v>
                </c:pt>
              </c:strCache>
            </c:strRef>
          </c:tx>
          <c:spPr>
            <a:ln w="28575" cap="rnd">
              <a:solidFill>
                <a:schemeClr val="accent2"/>
              </a:solidFill>
              <a:round/>
            </a:ln>
            <a:effectLst>
              <a:glow rad="63500">
                <a:schemeClr val="accent2">
                  <a:satMod val="175000"/>
                  <a:alpha val="40000"/>
                </a:schemeClr>
              </a:glow>
            </a:effectLst>
          </c:spPr>
          <c:marker>
            <c:symbol val="circle"/>
            <c:size val="6"/>
            <c:spPr>
              <a:solidFill>
                <a:srgbClr val="ED674E"/>
              </a:solidFill>
              <a:ln w="9525">
                <a:solidFill>
                  <a:schemeClr val="accent2"/>
                </a:solidFill>
              </a:ln>
              <a:effectLst>
                <a:glow rad="63500">
                  <a:schemeClr val="accent2">
                    <a:satMod val="175000"/>
                    <a:alpha val="40000"/>
                  </a:schemeClr>
                </a:glow>
              </a:effectLst>
            </c:spPr>
          </c:marker>
          <c:dLbls>
            <c:dLbl>
              <c:idx val="0"/>
              <c:tx>
                <c:rich>
                  <a:bodyPr/>
                  <a:lstStyle/>
                  <a:p>
                    <a:fld id="{1628CF48-A615-444D-A8BF-9DA3B8955164}" type="CELLRANGE">
                      <a:rPr lang="en-US"/>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590C-4CF3-AC9C-6B662B40ECD0}"/>
                </c:ext>
              </c:extLst>
            </c:dLbl>
            <c:dLbl>
              <c:idx val="1"/>
              <c:tx>
                <c:rich>
                  <a:bodyPr/>
                  <a:lstStyle/>
                  <a:p>
                    <a:fld id="{48BCFFC9-E185-4746-8031-A46E8D807C03}"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90C-4CF3-AC9C-6B662B40ECD0}"/>
                </c:ext>
              </c:extLst>
            </c:dLbl>
            <c:dLbl>
              <c:idx val="2"/>
              <c:tx>
                <c:rich>
                  <a:bodyPr/>
                  <a:lstStyle/>
                  <a:p>
                    <a:fld id="{238897C6-069C-44B2-B012-3805851E6518}"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590C-4CF3-AC9C-6B662B40ECD0}"/>
                </c:ext>
              </c:extLst>
            </c:dLbl>
            <c:dLbl>
              <c:idx val="3"/>
              <c:tx>
                <c:rich>
                  <a:bodyPr/>
                  <a:lstStyle/>
                  <a:p>
                    <a:fld id="{F68EE161-7DD9-4BD8-A128-7A16E2CFFC14}"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90C-4CF3-AC9C-6B662B40ECD0}"/>
                </c:ext>
              </c:extLst>
            </c:dLbl>
            <c:dLbl>
              <c:idx val="4"/>
              <c:tx>
                <c:rich>
                  <a:bodyPr/>
                  <a:lstStyle/>
                  <a:p>
                    <a:fld id="{11A378C6-01BA-4A20-A783-614A5FDCBC6D}"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90C-4CF3-AC9C-6B662B40ECD0}"/>
                </c:ext>
              </c:extLst>
            </c:dLbl>
            <c:dLbl>
              <c:idx val="5"/>
              <c:tx>
                <c:rich>
                  <a:bodyPr/>
                  <a:lstStyle/>
                  <a:p>
                    <a:fld id="{905FBDE1-EBD2-4A4A-965D-F864853ACB66}"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90C-4CF3-AC9C-6B662B40ECD0}"/>
                </c:ext>
              </c:extLst>
            </c:dLbl>
            <c:dLbl>
              <c:idx val="6"/>
              <c:tx>
                <c:rich>
                  <a:bodyPr/>
                  <a:lstStyle/>
                  <a:p>
                    <a:fld id="{7A2D2D50-7F49-4159-9803-E67DFBE7CFD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90C-4CF3-AC9C-6B662B40ECD0}"/>
                </c:ext>
              </c:extLst>
            </c:dLbl>
            <c:dLbl>
              <c:idx val="7"/>
              <c:tx>
                <c:rich>
                  <a:bodyPr/>
                  <a:lstStyle/>
                  <a:p>
                    <a:fld id="{C9F867BD-34D7-4202-A521-DBD8D9F55672}"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90C-4CF3-AC9C-6B662B40ECD0}"/>
                </c:ext>
              </c:extLst>
            </c:dLbl>
            <c:dLbl>
              <c:idx val="8"/>
              <c:tx>
                <c:rich>
                  <a:bodyPr/>
                  <a:lstStyle/>
                  <a:p>
                    <a:fld id="{B9F34A07-3940-4291-9642-EC66A45F5416}"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590C-4CF3-AC9C-6B662B40ECD0}"/>
                </c:ext>
              </c:extLst>
            </c:dLbl>
            <c:dLbl>
              <c:idx val="9"/>
              <c:tx>
                <c:rich>
                  <a:bodyPr/>
                  <a:lstStyle/>
                  <a:p>
                    <a:fld id="{600E8A22-894D-4EE1-A1CF-210415B0BB24}"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90C-4CF3-AC9C-6B662B40ECD0}"/>
                </c:ext>
              </c:extLst>
            </c:dLbl>
            <c:dLbl>
              <c:idx val="10"/>
              <c:tx>
                <c:rich>
                  <a:bodyPr/>
                  <a:lstStyle/>
                  <a:p>
                    <a:fld id="{B8BB9079-83FF-442E-AB01-5224DD006509}"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590C-4CF3-AC9C-6B662B40ECD0}"/>
                </c:ext>
              </c:extLst>
            </c:dLbl>
            <c:dLbl>
              <c:idx val="11"/>
              <c:tx>
                <c:rich>
                  <a:bodyPr/>
                  <a:lstStyle/>
                  <a:p>
                    <a:fld id="{BD3E86E6-8C3C-498B-8FF2-624B2A462AD2}"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590C-4CF3-AC9C-6B662B40ECD0}"/>
                </c:ext>
              </c:extLst>
            </c:dLbl>
            <c:spPr>
              <a:solidFill>
                <a:schemeClr val="accent2"/>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calc!$BT$8:$BT$19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calc!$BX$8:$BX$19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datalabelsRange>
                <c15:f>calc!$BX$8:$BX$19</c15:f>
                <c15:dlblRangeCache>
                  <c:ptCount val="12"/>
                </c15:dlblRangeCache>
              </c15:datalabelsRange>
            </c:ext>
            <c:ext xmlns:c16="http://schemas.microsoft.com/office/drawing/2014/chart" uri="{C3380CC4-5D6E-409C-BE32-E72D297353CC}">
              <c16:uniqueId val="{00000003-590C-4CF3-AC9C-6B662B40ECD0}"/>
            </c:ext>
          </c:extLst>
        </c:ser>
        <c:ser>
          <c:idx val="4"/>
          <c:order val="4"/>
          <c:tx>
            <c:strRef>
              <c:f>calc!$BY$7</c:f>
              <c:strCache>
                <c:ptCount val="1"/>
                <c:pt idx="0">
                  <c:v>تعداد بارگیری</c:v>
                </c:pt>
              </c:strCache>
            </c:strRef>
          </c:tx>
          <c:spPr>
            <a:ln w="28575" cap="rnd">
              <a:solidFill>
                <a:schemeClr val="accent1">
                  <a:lumMod val="60000"/>
                  <a:lumOff val="40000"/>
                </a:schemeClr>
              </a:solidFill>
              <a:round/>
            </a:ln>
            <a:effectLst>
              <a:glow rad="63500">
                <a:schemeClr val="accent5">
                  <a:satMod val="175000"/>
                  <a:alpha val="40000"/>
                </a:schemeClr>
              </a:glow>
            </a:effectLst>
          </c:spPr>
          <c:marker>
            <c:symbol val="square"/>
            <c:size val="6"/>
            <c:spPr>
              <a:solidFill>
                <a:schemeClr val="tx1">
                  <a:lumMod val="75000"/>
                  <a:lumOff val="25000"/>
                </a:schemeClr>
              </a:solidFill>
              <a:ln w="9525">
                <a:solidFill>
                  <a:schemeClr val="accent1">
                    <a:lumMod val="60000"/>
                    <a:lumOff val="40000"/>
                  </a:schemeClr>
                </a:solidFill>
              </a:ln>
              <a:effectLst>
                <a:glow rad="63500">
                  <a:schemeClr val="accent5">
                    <a:satMod val="175000"/>
                    <a:alpha val="40000"/>
                  </a:schemeClr>
                </a:glow>
              </a:effectLst>
            </c:spPr>
          </c:marker>
          <c:dLbls>
            <c:dLbl>
              <c:idx val="0"/>
              <c:tx>
                <c:rich>
                  <a:bodyPr/>
                  <a:lstStyle/>
                  <a:p>
                    <a:fld id="{2B3C6C2E-2965-4FE5-948C-8B5F09904C90}" type="CELLRANGE">
                      <a:rPr lang="en-US"/>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590C-4CF3-AC9C-6B662B40ECD0}"/>
                </c:ext>
              </c:extLst>
            </c:dLbl>
            <c:dLbl>
              <c:idx val="1"/>
              <c:layout>
                <c:manualLayout>
                  <c:x val="-2.155641976340605E-2"/>
                  <c:y val="-0.11541983309404701"/>
                </c:manualLayout>
              </c:layout>
              <c:tx>
                <c:rich>
                  <a:bodyPr/>
                  <a:lstStyle/>
                  <a:p>
                    <a:fld id="{19157FEB-828B-468E-BFFA-19B04AA26B59}" type="CELLRANGE">
                      <a:rPr lang="fa-IR"/>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590C-4CF3-AC9C-6B662B40ECD0}"/>
                </c:ext>
              </c:extLst>
            </c:dLbl>
            <c:dLbl>
              <c:idx val="2"/>
              <c:tx>
                <c:rich>
                  <a:bodyPr/>
                  <a:lstStyle/>
                  <a:p>
                    <a:fld id="{EF82AAAB-706A-4C4F-8DDB-D74820C0D305}"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590C-4CF3-AC9C-6B662B40ECD0}"/>
                </c:ext>
              </c:extLst>
            </c:dLbl>
            <c:dLbl>
              <c:idx val="3"/>
              <c:tx>
                <c:rich>
                  <a:bodyPr/>
                  <a:lstStyle/>
                  <a:p>
                    <a:fld id="{CE92E53D-9095-40DF-B185-8711F4AFC810}"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590C-4CF3-AC9C-6B662B40ECD0}"/>
                </c:ext>
              </c:extLst>
            </c:dLbl>
            <c:dLbl>
              <c:idx val="4"/>
              <c:tx>
                <c:rich>
                  <a:bodyPr/>
                  <a:lstStyle/>
                  <a:p>
                    <a:fld id="{38121CFB-EEAD-4FA6-A45D-46605EBC658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590C-4CF3-AC9C-6B662B40ECD0}"/>
                </c:ext>
              </c:extLst>
            </c:dLbl>
            <c:dLbl>
              <c:idx val="5"/>
              <c:tx>
                <c:rich>
                  <a:bodyPr/>
                  <a:lstStyle/>
                  <a:p>
                    <a:fld id="{2B111BB0-7431-40B5-81AF-13E5C129BE35}"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590C-4CF3-AC9C-6B662B40ECD0}"/>
                </c:ext>
              </c:extLst>
            </c:dLbl>
            <c:dLbl>
              <c:idx val="6"/>
              <c:tx>
                <c:rich>
                  <a:bodyPr/>
                  <a:lstStyle/>
                  <a:p>
                    <a:fld id="{B20067F2-79BB-459D-AA39-F0F6A9FEBE62}"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590C-4CF3-AC9C-6B662B40ECD0}"/>
                </c:ext>
              </c:extLst>
            </c:dLbl>
            <c:dLbl>
              <c:idx val="7"/>
              <c:tx>
                <c:rich>
                  <a:bodyPr/>
                  <a:lstStyle/>
                  <a:p>
                    <a:fld id="{E4E40343-8652-4A2B-981E-F8BEAA2C1FCD}"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590C-4CF3-AC9C-6B662B40ECD0}"/>
                </c:ext>
              </c:extLst>
            </c:dLbl>
            <c:dLbl>
              <c:idx val="8"/>
              <c:tx>
                <c:rich>
                  <a:bodyPr/>
                  <a:lstStyle/>
                  <a:p>
                    <a:fld id="{7A92EF79-84C8-416D-9EAF-D85F1019A42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590C-4CF3-AC9C-6B662B40ECD0}"/>
                </c:ext>
              </c:extLst>
            </c:dLbl>
            <c:dLbl>
              <c:idx val="9"/>
              <c:tx>
                <c:rich>
                  <a:bodyPr/>
                  <a:lstStyle/>
                  <a:p>
                    <a:fld id="{9C4EE189-560E-47A7-8625-D47B95248F6B}"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590C-4CF3-AC9C-6B662B40ECD0}"/>
                </c:ext>
              </c:extLst>
            </c:dLbl>
            <c:dLbl>
              <c:idx val="10"/>
              <c:tx>
                <c:rich>
                  <a:bodyPr/>
                  <a:lstStyle/>
                  <a:p>
                    <a:fld id="{5832449E-08AE-4420-9435-28DB6DF8C224}"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590C-4CF3-AC9C-6B662B40ECD0}"/>
                </c:ext>
              </c:extLst>
            </c:dLbl>
            <c:dLbl>
              <c:idx val="11"/>
              <c:tx>
                <c:rich>
                  <a:bodyPr/>
                  <a:lstStyle/>
                  <a:p>
                    <a:fld id="{8616862D-53D4-407C-9895-45053697D8F1}"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590C-4CF3-AC9C-6B662B40ECD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60000"/>
                        <a:lumOff val="4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calc!$BT$8:$BT$19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calc!$BY$8:$BY$19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datalabelsRange>
                <c15:f>calc!$BY$8:$BY$19</c15:f>
                <c15:dlblRangeCache>
                  <c:ptCount val="12"/>
                </c15:dlblRangeCache>
              </c15:datalabelsRange>
            </c:ext>
            <c:ext xmlns:c16="http://schemas.microsoft.com/office/drawing/2014/chart" uri="{C3380CC4-5D6E-409C-BE32-E72D297353CC}">
              <c16:uniqueId val="{00000004-590C-4CF3-AC9C-6B662B40ECD0}"/>
            </c:ext>
          </c:extLst>
        </c:ser>
        <c:dLbls>
          <c:showLegendKey val="0"/>
          <c:showVal val="1"/>
          <c:showCatName val="0"/>
          <c:showSerName val="0"/>
          <c:showPercent val="0"/>
          <c:showBubbleSize val="0"/>
        </c:dLbls>
        <c:marker val="1"/>
        <c:smooth val="0"/>
        <c:axId val="1932059776"/>
        <c:axId val="1934651392"/>
      </c:lineChart>
      <c:catAx>
        <c:axId val="142656064"/>
        <c:scaling>
          <c:orientation val="minMax"/>
        </c:scaling>
        <c:delete val="0"/>
        <c:axPos val="b"/>
        <c:numFmt formatCode="General" sourceLinked="1"/>
        <c:majorTickMark val="out"/>
        <c:minorTickMark val="none"/>
        <c:tickLblPos val="nextTo"/>
        <c:spPr>
          <a:noFill/>
          <a:ln w="9525" cap="flat" cmpd="sng" algn="ctr">
            <a:solidFill>
              <a:srgbClr val="FFFFFF"/>
            </a:solidFill>
            <a:round/>
          </a:ln>
          <a:effectLst/>
        </c:spPr>
        <c:txPr>
          <a:bodyPr rot="-60000000" spcFirstLastPara="1" vertOverflow="ellipsis" vert="horz" wrap="square" anchor="ctr" anchorCtr="1"/>
          <a:lstStyle/>
          <a:p>
            <a:pPr>
              <a:defRPr sz="1050" b="1" i="0" u="none" strike="noStrike" kern="1200" baseline="0">
                <a:solidFill>
                  <a:srgbClr val="FFFFFF"/>
                </a:solidFill>
                <a:latin typeface="+mn-lt"/>
                <a:ea typeface="+mn-ea"/>
                <a:cs typeface="B Nazanin" panose="00000400000000000000" pitchFamily="2" charset="-78"/>
              </a:defRPr>
            </a:pPr>
            <a:endParaRPr lang="en-US"/>
          </a:p>
        </c:txPr>
        <c:crossAx val="1944117424"/>
        <c:crosses val="autoZero"/>
        <c:auto val="1"/>
        <c:lblAlgn val="ctr"/>
        <c:lblOffset val="100"/>
        <c:noMultiLvlLbl val="0"/>
      </c:catAx>
      <c:valAx>
        <c:axId val="1944117424"/>
        <c:scaling>
          <c:orientation val="minMax"/>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700" b="1" i="0" u="none" strike="noStrike" kern="1200" baseline="0">
                <a:solidFill>
                  <a:srgbClr val="FFFFFF"/>
                </a:solidFill>
                <a:latin typeface="+mn-lt"/>
                <a:ea typeface="+mn-ea"/>
                <a:cs typeface="+mn-cs"/>
              </a:defRPr>
            </a:pPr>
            <a:endParaRPr lang="en-US"/>
          </a:p>
        </c:txPr>
        <c:crossAx val="142656064"/>
        <c:crosses val="autoZero"/>
        <c:crossBetween val="between"/>
      </c:valAx>
      <c:valAx>
        <c:axId val="1934651392"/>
        <c:scaling>
          <c:orientation val="minMax"/>
          <c:max val="150"/>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500" b="1" i="0" u="none" strike="noStrike" kern="1200" baseline="0">
                <a:solidFill>
                  <a:srgbClr val="FFFFFF"/>
                </a:solidFill>
                <a:latin typeface="+mn-lt"/>
                <a:ea typeface="+mn-ea"/>
                <a:cs typeface="+mn-cs"/>
              </a:defRPr>
            </a:pPr>
            <a:endParaRPr lang="en-US"/>
          </a:p>
        </c:txPr>
        <c:crossAx val="1932059776"/>
        <c:crosses val="max"/>
        <c:crossBetween val="between"/>
      </c:valAx>
      <c:catAx>
        <c:axId val="1932059776"/>
        <c:scaling>
          <c:orientation val="minMax"/>
        </c:scaling>
        <c:delete val="1"/>
        <c:axPos val="b"/>
        <c:numFmt formatCode="General" sourceLinked="1"/>
        <c:majorTickMark val="out"/>
        <c:minorTickMark val="none"/>
        <c:tickLblPos val="nextTo"/>
        <c:crossAx val="1934651392"/>
        <c:crosses val="autoZero"/>
        <c:auto val="1"/>
        <c:lblAlgn val="ctr"/>
        <c:lblOffset val="100"/>
        <c:noMultiLvlLbl val="0"/>
      </c:catAx>
      <c:spPr>
        <a:noFill/>
        <a:ln>
          <a:noFill/>
        </a:ln>
        <a:effectLst/>
      </c:spPr>
    </c:plotArea>
    <c:legend>
      <c:legendPos val="b"/>
      <c:layout>
        <c:manualLayout>
          <c:xMode val="edge"/>
          <c:yMode val="edge"/>
          <c:x val="2.3032186766127911E-2"/>
          <c:y val="0.86275159746501107"/>
          <c:w val="0.92323375696458987"/>
          <c:h val="0.1130548503071581"/>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FFFFFF"/>
              </a:solidFill>
              <a:latin typeface="+mn-lt"/>
              <a:ea typeface="+mn-ea"/>
              <a:cs typeface="B Nazanin" panose="00000400000000000000" pitchFamily="2"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rgbClr val="FFFFFF"/>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76023859728151E-2"/>
          <c:y val="0.13566987730536006"/>
          <c:w val="0.58803603700763729"/>
          <c:h val="0.82746989119635539"/>
        </c:manualLayout>
      </c:layout>
      <c:barChart>
        <c:barDir val="bar"/>
        <c:grouping val="clustered"/>
        <c:varyColors val="0"/>
        <c:ser>
          <c:idx val="2"/>
          <c:order val="0"/>
          <c:tx>
            <c:v>lable</c:v>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calc!$BC$7:$BC$16</c:f>
              <c:numCache>
                <c:formatCode>#,##0.00,,</c:formatCode>
                <c:ptCount val="10"/>
                <c:pt idx="0">
                  <c:v>4191360</c:v>
                </c:pt>
                <c:pt idx="1">
                  <c:v>2500000</c:v>
                </c:pt>
                <c:pt idx="2">
                  <c:v>1309195</c:v>
                </c:pt>
                <c:pt idx="3">
                  <c:v>1297415</c:v>
                </c:pt>
                <c:pt idx="4">
                  <c:v>1225010</c:v>
                </c:pt>
                <c:pt idx="5">
                  <c:v>1147255</c:v>
                </c:pt>
                <c:pt idx="6">
                  <c:v>1212120</c:v>
                </c:pt>
                <c:pt idx="7">
                  <c:v>997975</c:v>
                </c:pt>
                <c:pt idx="8">
                  <c:v>1007595</c:v>
                </c:pt>
                <c:pt idx="9">
                  <c:v>911920</c:v>
                </c:pt>
              </c:numCache>
            </c:numRef>
          </c:val>
          <c:extLst>
            <c:ext xmlns:c16="http://schemas.microsoft.com/office/drawing/2014/chart" uri="{C3380CC4-5D6E-409C-BE32-E72D297353CC}">
              <c16:uniqueId val="{00000000-5E20-43BF-A3DD-3CE8E064FEA9}"/>
            </c:ext>
          </c:extLst>
        </c:ser>
        <c:ser>
          <c:idx val="0"/>
          <c:order val="1"/>
          <c:spPr>
            <a:solidFill>
              <a:srgbClr val="D7355F"/>
            </a:solidFill>
            <a:ln w="12700">
              <a:solidFill>
                <a:schemeClr val="tx2">
                  <a:lumMod val="25000"/>
                  <a:lumOff val="75000"/>
                </a:schemeClr>
              </a:solidFill>
            </a:ln>
            <a:effectLst/>
          </c:spPr>
          <c:invertIfNegative val="0"/>
          <c:dLbls>
            <c:dLbl>
              <c:idx val="0"/>
              <c:tx>
                <c:rich>
                  <a:bodyPr/>
                  <a:lstStyle/>
                  <a:p>
                    <a:fld id="{31C709C9-E68D-42FA-A4DE-A3F1EC86CF64}"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1E8-464A-BEFC-673133272B80}"/>
                </c:ext>
              </c:extLst>
            </c:dLbl>
            <c:dLbl>
              <c:idx val="1"/>
              <c:tx>
                <c:rich>
                  <a:bodyPr/>
                  <a:lstStyle/>
                  <a:p>
                    <a:fld id="{9A09F9B0-72C1-45AC-8FD5-6B5BD903BCD2}"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1E8-464A-BEFC-673133272B80}"/>
                </c:ext>
              </c:extLst>
            </c:dLbl>
            <c:dLbl>
              <c:idx val="2"/>
              <c:tx>
                <c:rich>
                  <a:bodyPr/>
                  <a:lstStyle/>
                  <a:p>
                    <a:fld id="{C9D4A41E-DAA3-4273-9E85-80BF5EAE15F3}"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E8-464A-BEFC-673133272B80}"/>
                </c:ext>
              </c:extLst>
            </c:dLbl>
            <c:dLbl>
              <c:idx val="3"/>
              <c:tx>
                <c:rich>
                  <a:bodyPr/>
                  <a:lstStyle/>
                  <a:p>
                    <a:fld id="{C559FAA8-DD72-45EE-87F4-28171B6B0448}"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E8-464A-BEFC-673133272B80}"/>
                </c:ext>
              </c:extLst>
            </c:dLbl>
            <c:dLbl>
              <c:idx val="4"/>
              <c:tx>
                <c:rich>
                  <a:bodyPr/>
                  <a:lstStyle/>
                  <a:p>
                    <a:fld id="{C1125A7A-3655-45D1-87F2-B5A91E8B47D9}"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E8-464A-BEFC-673133272B80}"/>
                </c:ext>
              </c:extLst>
            </c:dLbl>
            <c:dLbl>
              <c:idx val="5"/>
              <c:tx>
                <c:rich>
                  <a:bodyPr/>
                  <a:lstStyle/>
                  <a:p>
                    <a:fld id="{DF652D5E-4A65-430D-B898-EE4955139A0E}"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E8-464A-BEFC-673133272B80}"/>
                </c:ext>
              </c:extLst>
            </c:dLbl>
            <c:dLbl>
              <c:idx val="6"/>
              <c:tx>
                <c:rich>
                  <a:bodyPr/>
                  <a:lstStyle/>
                  <a:p>
                    <a:fld id="{C93680A4-B33D-4EAD-B1E0-46045ED7341F}"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E8-464A-BEFC-673133272B80}"/>
                </c:ext>
              </c:extLst>
            </c:dLbl>
            <c:dLbl>
              <c:idx val="7"/>
              <c:tx>
                <c:rich>
                  <a:bodyPr/>
                  <a:lstStyle/>
                  <a:p>
                    <a:fld id="{CC48D974-2D92-4E19-81A9-E0DA78BC932D}"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E8-464A-BEFC-673133272B80}"/>
                </c:ext>
              </c:extLst>
            </c:dLbl>
            <c:dLbl>
              <c:idx val="8"/>
              <c:tx>
                <c:rich>
                  <a:bodyPr/>
                  <a:lstStyle/>
                  <a:p>
                    <a:fld id="{2D07CACB-FA60-45C8-AF04-97D9A6AAAA7F}"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E8-464A-BEFC-673133272B80}"/>
                </c:ext>
              </c:extLst>
            </c:dLbl>
            <c:dLbl>
              <c:idx val="9"/>
              <c:tx>
                <c:rich>
                  <a:bodyPr/>
                  <a:lstStyle/>
                  <a:p>
                    <a:fld id="{0A11A30F-F05D-40E7-A07A-E2986D8F2924}" type="CELLRANGE">
                      <a:rPr lang="fa-IR"/>
                      <a:pPr/>
                      <a:t>[CELLRANGE]</a:t>
                    </a:fld>
                    <a:endParaRPr lang="fa-IR"/>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E8-464A-BEFC-673133272B8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FFFF"/>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calc!$BB$7:$BB$16</c:f>
              <c:strCache>
                <c:ptCount val="10"/>
                <c:pt idx="0">
                  <c:v>عراق اربیل</c:v>
                </c:pt>
                <c:pt idx="1">
                  <c:v>سپهر سرمد</c:v>
                </c:pt>
                <c:pt idx="2">
                  <c:v>گاز کربنیک غرب</c:v>
                </c:pt>
                <c:pt idx="3">
                  <c:v>تعاونی ماهان گاز</c:v>
                </c:pt>
                <c:pt idx="4">
                  <c:v>تولید گازهای طبی و صنعتی مددکاران اصفهان</c:v>
                </c:pt>
                <c:pt idx="5">
                  <c:v>خوش نوش همدان</c:v>
                </c:pt>
                <c:pt idx="6">
                  <c:v>تولیدی گازهای طبی و صنعتی طوس سبزوار</c:v>
                </c:pt>
                <c:pt idx="7">
                  <c:v>پارس اکسیر البرز شمالی</c:v>
                </c:pt>
                <c:pt idx="8">
                  <c:v>اکسیژن ارومیه گاز</c:v>
                </c:pt>
                <c:pt idx="9">
                  <c:v>گاز اکسیژن طوس</c:v>
                </c:pt>
              </c:strCache>
            </c:strRef>
          </c:cat>
          <c:val>
            <c:numRef>
              <c:f>calc!$BC$7:$BC$16</c:f>
              <c:numCache>
                <c:formatCode>#,##0.00,,</c:formatCode>
                <c:ptCount val="10"/>
                <c:pt idx="0">
                  <c:v>4191360</c:v>
                </c:pt>
                <c:pt idx="1">
                  <c:v>2500000</c:v>
                </c:pt>
                <c:pt idx="2">
                  <c:v>1309195</c:v>
                </c:pt>
                <c:pt idx="3">
                  <c:v>1297415</c:v>
                </c:pt>
                <c:pt idx="4">
                  <c:v>1225010</c:v>
                </c:pt>
                <c:pt idx="5">
                  <c:v>1147255</c:v>
                </c:pt>
                <c:pt idx="6">
                  <c:v>1212120</c:v>
                </c:pt>
                <c:pt idx="7">
                  <c:v>997975</c:v>
                </c:pt>
                <c:pt idx="8">
                  <c:v>1007595</c:v>
                </c:pt>
                <c:pt idx="9">
                  <c:v>911920</c:v>
                </c:pt>
              </c:numCache>
            </c:numRef>
          </c:val>
          <c:extLst>
            <c:ext xmlns:c15="http://schemas.microsoft.com/office/drawing/2012/chart" uri="{02D57815-91ED-43cb-92C2-25804820EDAC}">
              <c15:datalabelsRange>
                <c15:f>calc!$BE$7:$BE$16</c15:f>
                <c15:dlblRangeCache>
                  <c:ptCount val="10"/>
                  <c:pt idx="0">
                    <c:v>54%</c:v>
                  </c:pt>
                  <c:pt idx="1">
                    <c:v>11%</c:v>
                  </c:pt>
                  <c:pt idx="2">
                    <c:v>19%</c:v>
                  </c:pt>
                  <c:pt idx="3">
                    <c:v>23%</c:v>
                  </c:pt>
                  <c:pt idx="4">
                    <c:v>32%</c:v>
                  </c:pt>
                  <c:pt idx="5">
                    <c:v>35%</c:v>
                  </c:pt>
                  <c:pt idx="6">
                    <c:v>27%</c:v>
                  </c:pt>
                  <c:pt idx="7">
                    <c:v>45%</c:v>
                  </c:pt>
                  <c:pt idx="8">
                    <c:v>35%</c:v>
                  </c:pt>
                  <c:pt idx="9">
                    <c:v>14%</c:v>
                  </c:pt>
                </c15:dlblRangeCache>
              </c15:datalabelsRange>
            </c:ext>
            <c:ext xmlns:c16="http://schemas.microsoft.com/office/drawing/2014/chart" uri="{C3380CC4-5D6E-409C-BE32-E72D297353CC}">
              <c16:uniqueId val="{0000000A-B1E8-464A-BEFC-673133272B80}"/>
            </c:ext>
          </c:extLst>
        </c:ser>
        <c:ser>
          <c:idx val="1"/>
          <c:order val="2"/>
          <c:spPr>
            <a:solidFill>
              <a:srgbClr val="69F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calc!$BB$7:$BB$16</c:f>
              <c:strCache>
                <c:ptCount val="10"/>
                <c:pt idx="0">
                  <c:v>عراق اربیل</c:v>
                </c:pt>
                <c:pt idx="1">
                  <c:v>سپهر سرمد</c:v>
                </c:pt>
                <c:pt idx="2">
                  <c:v>گاز کربنیک غرب</c:v>
                </c:pt>
                <c:pt idx="3">
                  <c:v>تعاونی ماهان گاز</c:v>
                </c:pt>
                <c:pt idx="4">
                  <c:v>تولید گازهای طبی و صنعتی مددکاران اصفهان</c:v>
                </c:pt>
                <c:pt idx="5">
                  <c:v>خوش نوش همدان</c:v>
                </c:pt>
                <c:pt idx="6">
                  <c:v>تولیدی گازهای طبی و صنعتی طوس سبزوار</c:v>
                </c:pt>
                <c:pt idx="7">
                  <c:v>پارس اکسیر البرز شمالی</c:v>
                </c:pt>
                <c:pt idx="8">
                  <c:v>اکسیژن ارومیه گاز</c:v>
                </c:pt>
                <c:pt idx="9">
                  <c:v>گاز اکسیژن طوس</c:v>
                </c:pt>
              </c:strCache>
            </c:strRef>
          </c:cat>
          <c:val>
            <c:numRef>
              <c:f>calc!$BD$7:$BD$16</c:f>
              <c:numCache>
                <c:formatCode>#,##0.00,,</c:formatCode>
                <c:ptCount val="10"/>
                <c:pt idx="0">
                  <c:v>2250855</c:v>
                </c:pt>
                <c:pt idx="1">
                  <c:v>274225</c:v>
                </c:pt>
                <c:pt idx="2">
                  <c:v>250970</c:v>
                </c:pt>
                <c:pt idx="3">
                  <c:v>293835</c:v>
                </c:pt>
                <c:pt idx="4">
                  <c:v>386910</c:v>
                </c:pt>
                <c:pt idx="5">
                  <c:v>405420</c:v>
                </c:pt>
                <c:pt idx="6">
                  <c:v>324785</c:v>
                </c:pt>
                <c:pt idx="7">
                  <c:v>444585</c:v>
                </c:pt>
                <c:pt idx="8">
                  <c:v>353875</c:v>
                </c:pt>
                <c:pt idx="9">
                  <c:v>128990</c:v>
                </c:pt>
              </c:numCache>
            </c:numRef>
          </c:val>
          <c:extLst>
            <c:ext xmlns:c16="http://schemas.microsoft.com/office/drawing/2014/chart" uri="{C3380CC4-5D6E-409C-BE32-E72D297353CC}">
              <c16:uniqueId val="{0000000B-B1E8-464A-BEFC-673133272B80}"/>
            </c:ext>
          </c:extLst>
        </c:ser>
        <c:dLbls>
          <c:showLegendKey val="0"/>
          <c:showVal val="0"/>
          <c:showCatName val="0"/>
          <c:showSerName val="0"/>
          <c:showPercent val="0"/>
          <c:showBubbleSize val="0"/>
        </c:dLbls>
        <c:gapWidth val="67"/>
        <c:overlap val="100"/>
        <c:axId val="1940981920"/>
        <c:axId val="2043479200"/>
      </c:barChart>
      <c:catAx>
        <c:axId val="1940981920"/>
        <c:scaling>
          <c:orientation val="maxMin"/>
        </c:scaling>
        <c:delete val="0"/>
        <c:axPos val="r"/>
        <c:numFmt formatCode="General" sourceLinked="1"/>
        <c:majorTickMark val="out"/>
        <c:minorTickMark val="none"/>
        <c:tickLblPos val="nextTo"/>
        <c:spPr>
          <a:noFill/>
          <a:ln w="9525" cap="flat" cmpd="sng" algn="ctr">
            <a:solidFill>
              <a:srgbClr val="FFFFFF"/>
            </a:solidFill>
            <a:round/>
          </a:ln>
          <a:effectLst/>
        </c:spPr>
        <c:txPr>
          <a:bodyPr rot="-60000000" spcFirstLastPara="1" vertOverflow="ellipsis" vert="horz" wrap="square" anchor="ctr" anchorCtr="1"/>
          <a:lstStyle/>
          <a:p>
            <a:pPr rtl="0">
              <a:defRPr sz="1050" b="1" i="0" u="none" strike="noStrike" kern="1200" baseline="0">
                <a:solidFill>
                  <a:srgbClr val="FFFFFF"/>
                </a:solidFill>
                <a:latin typeface="+mn-lt"/>
                <a:ea typeface="+mn-ea"/>
                <a:cs typeface="B Nazanin" panose="00000400000000000000" pitchFamily="2" charset="-78"/>
              </a:defRPr>
            </a:pPr>
            <a:endParaRPr lang="en-US"/>
          </a:p>
        </c:txPr>
        <c:crossAx val="2043479200"/>
        <c:crosses val="autoZero"/>
        <c:auto val="1"/>
        <c:lblAlgn val="ctr"/>
        <c:lblOffset val="100"/>
        <c:noMultiLvlLbl val="0"/>
      </c:catAx>
      <c:valAx>
        <c:axId val="2043479200"/>
        <c:scaling>
          <c:orientation val="maxMin"/>
          <c:min val="0"/>
        </c:scaling>
        <c:delete val="1"/>
        <c:axPos val="t"/>
        <c:numFmt formatCode="#,##0.00,," sourceLinked="1"/>
        <c:majorTickMark val="out"/>
        <c:minorTickMark val="none"/>
        <c:tickLblPos val="nextTo"/>
        <c:crossAx val="1940981920"/>
        <c:crosses val="autoZero"/>
        <c:crossBetween val="between"/>
        <c:majorUnit val="100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88537549407111E-3"/>
          <c:y val="8.2623952192846795E-2"/>
          <c:w val="0.99407114624505932"/>
          <c:h val="0.54666952134294378"/>
        </c:manualLayout>
      </c:layout>
      <c:lineChart>
        <c:grouping val="standard"/>
        <c:varyColors val="0"/>
        <c:ser>
          <c:idx val="0"/>
          <c:order val="0"/>
          <c:tx>
            <c:strRef>
              <c:f>calc!$CU$6</c:f>
              <c:strCache>
                <c:ptCount val="1"/>
                <c:pt idx="0">
                  <c:v>میانگین وزنی قیمت(ریال)</c:v>
                </c:pt>
              </c:strCache>
            </c:strRef>
          </c:tx>
          <c:spPr>
            <a:ln w="28575" cap="rnd">
              <a:solidFill>
                <a:schemeClr val="accent3">
                  <a:lumMod val="60000"/>
                  <a:lumOff val="40000"/>
                </a:schemeClr>
              </a:solidFill>
              <a:round/>
            </a:ln>
            <a:effectLst/>
          </c:spPr>
          <c:marker>
            <c:symbol val="circle"/>
            <c:size val="5"/>
            <c:spPr>
              <a:solidFill>
                <a:schemeClr val="accent2">
                  <a:lumMod val="20000"/>
                  <a:lumOff val="80000"/>
                </a:schemeClr>
              </a:solidFill>
              <a:ln w="9525">
                <a:solidFill>
                  <a:schemeClr val="accent3">
                    <a:lumMod val="60000"/>
                    <a:lumOff val="4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FFFF"/>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calc!$CT$7:$CT$18</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calc!$CU$7:$CU$18</c:f>
              <c:numCache>
                <c:formatCode>_(* #,##0_);_(* \(#,##0\);_(* "-"??_);_(@_)</c:formatCode>
                <c:ptCount val="12"/>
                <c:pt idx="0">
                  <c:v>69871.426049906455</c:v>
                </c:pt>
                <c:pt idx="1">
                  <c:v>69929.062562607156</c:v>
                </c:pt>
                <c:pt idx="2">
                  <c:v>101397.48648093926</c:v>
                </c:pt>
                <c:pt idx="3">
                  <c:v>98982.84104301456</c:v>
                </c:pt>
                <c:pt idx="4">
                  <c:v>100563.96780419926</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420-45C3-A143-3DC5DCCB1E6C}"/>
            </c:ext>
          </c:extLst>
        </c:ser>
        <c:dLbls>
          <c:dLblPos val="t"/>
          <c:showLegendKey val="0"/>
          <c:showVal val="1"/>
          <c:showCatName val="0"/>
          <c:showSerName val="0"/>
          <c:showPercent val="0"/>
          <c:showBubbleSize val="0"/>
        </c:dLbls>
        <c:marker val="1"/>
        <c:smooth val="0"/>
        <c:axId val="673181536"/>
        <c:axId val="1539167344"/>
      </c:lineChart>
      <c:catAx>
        <c:axId val="673181536"/>
        <c:scaling>
          <c:orientation val="minMax"/>
        </c:scaling>
        <c:delete val="0"/>
        <c:axPos val="b"/>
        <c:numFmt formatCode="General" sourceLinked="1"/>
        <c:majorTickMark val="out"/>
        <c:minorTickMark val="none"/>
        <c:tickLblPos val="nextTo"/>
        <c:spPr>
          <a:noFill/>
          <a:ln w="12700" cap="flat" cmpd="sng" algn="ctr">
            <a:solidFill>
              <a:srgbClr val="FFFFFF"/>
            </a:solidFill>
            <a:round/>
          </a:ln>
          <a:effectLst/>
        </c:spPr>
        <c:txPr>
          <a:bodyPr rot="-60000000" spcFirstLastPara="1" vertOverflow="ellipsis" vert="horz" wrap="square" anchor="ctr" anchorCtr="1"/>
          <a:lstStyle/>
          <a:p>
            <a:pPr>
              <a:defRPr sz="900" b="1" i="0" u="none" strike="noStrike" kern="1200" baseline="0">
                <a:solidFill>
                  <a:srgbClr val="FFFFFF"/>
                </a:solidFill>
                <a:latin typeface="+mn-lt"/>
                <a:ea typeface="+mn-ea"/>
                <a:cs typeface="B Nazanin" panose="00000400000000000000" pitchFamily="2" charset="-78"/>
              </a:defRPr>
            </a:pPr>
            <a:endParaRPr lang="en-US"/>
          </a:p>
        </c:txPr>
        <c:crossAx val="1539167344"/>
        <c:crosses val="autoZero"/>
        <c:auto val="1"/>
        <c:lblAlgn val="ctr"/>
        <c:lblOffset val="100"/>
        <c:noMultiLvlLbl val="0"/>
      </c:catAx>
      <c:valAx>
        <c:axId val="1539167344"/>
        <c:scaling>
          <c:orientation val="minMax"/>
        </c:scaling>
        <c:delete val="1"/>
        <c:axPos val="l"/>
        <c:numFmt formatCode="_(* #,##0_);_(* \(#,##0\);_(* &quot;-&quot;??_);_(@_)" sourceLinked="1"/>
        <c:majorTickMark val="none"/>
        <c:minorTickMark val="none"/>
        <c:tickLblPos val="nextTo"/>
        <c:crossAx val="673181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08059255421032E-3"/>
          <c:y val="0.1778059634667021"/>
          <c:w val="0.99407114624505932"/>
          <c:h val="0.41557561814613569"/>
        </c:manualLayout>
      </c:layout>
      <c:lineChart>
        <c:grouping val="standard"/>
        <c:varyColors val="0"/>
        <c:ser>
          <c:idx val="0"/>
          <c:order val="0"/>
          <c:tx>
            <c:strRef>
              <c:f>calc!$DB$6</c:f>
              <c:strCache>
                <c:ptCount val="1"/>
                <c:pt idx="0">
                  <c:v>1404</c:v>
                </c:pt>
              </c:strCache>
            </c:strRef>
          </c:tx>
          <c:spPr>
            <a:ln w="28575" cap="rnd">
              <a:solidFill>
                <a:schemeClr val="accent1">
                  <a:lumMod val="40000"/>
                  <a:lumOff val="60000"/>
                </a:schemeClr>
              </a:solidFill>
              <a:round/>
            </a:ln>
            <a:effectLst/>
          </c:spPr>
          <c:marker>
            <c:symbol val="circle"/>
            <c:size val="5"/>
            <c:spPr>
              <a:solidFill>
                <a:schemeClr val="accent2">
                  <a:lumMod val="20000"/>
                  <a:lumOff val="80000"/>
                </a:schemeClr>
              </a:solidFill>
              <a:ln w="9525">
                <a:solidFill>
                  <a:schemeClr val="accent1">
                    <a:lumMod val="40000"/>
                    <a:lumOff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calc!$DA$17:$DA$28</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calc!$DB$17:$DB$28</c:f>
              <c:numCache>
                <c:formatCode>_(* #,##0_);_(* \(#,##0\);_(* "-"??_);_(@_)</c:formatCode>
                <c:ptCount val="12"/>
                <c:pt idx="0">
                  <c:v>68500</c:v>
                </c:pt>
                <c:pt idx="1">
                  <c:v>68500</c:v>
                </c:pt>
                <c:pt idx="2">
                  <c:v>134336.84733610193</c:v>
                </c:pt>
                <c:pt idx="3">
                  <c:v>100236.07657162685</c:v>
                </c:pt>
                <c:pt idx="4">
                  <c:v>110469.46292919168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3C9-4C93-AE5C-AD8C651280BB}"/>
            </c:ext>
          </c:extLst>
        </c:ser>
        <c:dLbls>
          <c:dLblPos val="t"/>
          <c:showLegendKey val="0"/>
          <c:showVal val="1"/>
          <c:showCatName val="0"/>
          <c:showSerName val="0"/>
          <c:showPercent val="0"/>
          <c:showBubbleSize val="0"/>
        </c:dLbls>
        <c:marker val="1"/>
        <c:smooth val="0"/>
        <c:axId val="673181536"/>
        <c:axId val="1539167344"/>
      </c:lineChart>
      <c:catAx>
        <c:axId val="673181536"/>
        <c:scaling>
          <c:orientation val="minMax"/>
        </c:scaling>
        <c:delete val="0"/>
        <c:axPos val="b"/>
        <c:numFmt formatCode="General" sourceLinked="1"/>
        <c:majorTickMark val="out"/>
        <c:minorTickMark val="none"/>
        <c:tickLblPos val="nextTo"/>
        <c:spPr>
          <a:noFill/>
          <a:ln w="12700" cap="flat" cmpd="sng" algn="ctr">
            <a:solidFill>
              <a:srgbClr val="FFFFFF"/>
            </a:solidFill>
            <a:round/>
          </a:ln>
          <a:effectLst/>
        </c:spPr>
        <c:txPr>
          <a:bodyPr rot="-60000000" spcFirstLastPara="1" vertOverflow="ellipsis" vert="horz" wrap="square" anchor="ctr" anchorCtr="1"/>
          <a:lstStyle/>
          <a:p>
            <a:pPr>
              <a:defRPr sz="900" b="1" i="0" u="none" strike="noStrike" kern="1200" baseline="0">
                <a:solidFill>
                  <a:srgbClr val="FFFFFF"/>
                </a:solidFill>
                <a:latin typeface="+mn-lt"/>
                <a:ea typeface="+mn-ea"/>
                <a:cs typeface="B Nazanin" panose="00000400000000000000" pitchFamily="2" charset="-78"/>
              </a:defRPr>
            </a:pPr>
            <a:endParaRPr lang="en-US"/>
          </a:p>
        </c:txPr>
        <c:crossAx val="1539167344"/>
        <c:crosses val="autoZero"/>
        <c:auto val="1"/>
        <c:lblAlgn val="ctr"/>
        <c:lblOffset val="100"/>
        <c:noMultiLvlLbl val="0"/>
      </c:catAx>
      <c:valAx>
        <c:axId val="1539167344"/>
        <c:scaling>
          <c:orientation val="minMax"/>
        </c:scaling>
        <c:delete val="1"/>
        <c:axPos val="l"/>
        <c:numFmt formatCode="_(* #,##0_);_(* \(#,##0\);_(* &quot;-&quot;??_);_(@_)" sourceLinked="1"/>
        <c:majorTickMark val="none"/>
        <c:minorTickMark val="none"/>
        <c:tickLblPos val="nextTo"/>
        <c:crossAx val="673181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dLbls>
          <c:showLegendKey val="0"/>
          <c:showVal val="0"/>
          <c:showCatName val="0"/>
          <c:showSerName val="0"/>
          <c:showPercent val="0"/>
          <c:showBubbleSize val="0"/>
        </c:dLbls>
        <c:gapWidth val="182"/>
        <c:axId val="2133240127"/>
        <c:axId val="2133230527"/>
      </c:barChart>
      <c:catAx>
        <c:axId val="2133240127"/>
        <c:scaling>
          <c:orientation val="maxMin"/>
        </c:scaling>
        <c:delete val="0"/>
        <c:axPos val="r"/>
        <c:numFmt formatCode="General" sourceLinked="1"/>
        <c:majorTickMark val="none"/>
        <c:minorTickMark val="none"/>
        <c:tickLblPos val="nextTo"/>
        <c:spPr>
          <a:noFill/>
          <a:ln w="9525" cap="flat" cmpd="sng" algn="ctr">
            <a:solidFill>
              <a:srgbClr val="FFFFFF"/>
            </a:solidFill>
            <a:round/>
          </a:ln>
          <a:effectLst/>
        </c:spPr>
        <c:txPr>
          <a:bodyPr rot="-60000000" spcFirstLastPara="1" vertOverflow="ellipsis" vert="horz" wrap="square" anchor="ctr" anchorCtr="1"/>
          <a:lstStyle/>
          <a:p>
            <a:pPr>
              <a:defRPr sz="1100" b="0" i="0" u="none" strike="noStrike" kern="1200" baseline="0">
                <a:solidFill>
                  <a:srgbClr val="FFFFFF"/>
                </a:solidFill>
                <a:latin typeface="+mn-lt"/>
                <a:ea typeface="+mn-ea"/>
                <a:cs typeface="B Koodak" panose="00000700000000000000" pitchFamily="2" charset="-78"/>
              </a:defRPr>
            </a:pPr>
            <a:endParaRPr lang="en-US"/>
          </a:p>
        </c:txPr>
        <c:crossAx val="2133230527"/>
        <c:crosses val="autoZero"/>
        <c:auto val="1"/>
        <c:lblAlgn val="ctr"/>
        <c:lblOffset val="100"/>
        <c:noMultiLvlLbl val="0"/>
      </c:catAx>
      <c:valAx>
        <c:axId val="2133230527"/>
        <c:scaling>
          <c:orientation val="maxMin"/>
        </c:scaling>
        <c:delete val="1"/>
        <c:axPos val="t"/>
        <c:numFmt formatCode="_(* #,##0_);_(* \(#,##0\);_(* &quot;-&quot;??_);_(@_)" sourceLinked="1"/>
        <c:majorTickMark val="none"/>
        <c:minorTickMark val="none"/>
        <c:tickLblPos val="nextTo"/>
        <c:crossAx val="21332401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6" fmlaLink="calc!$BC$4" max="100" min="1" page="0"/>
</file>

<file path=xl/ctrlProps/ctrlProp2.xml><?xml version="1.0" encoding="utf-8"?>
<formControlPr xmlns="http://schemas.microsoft.com/office/spreadsheetml/2009/9/main" objectType="CheckBox" fmlaLink="calc!$BX$6" lockText="1"/>
</file>

<file path=xl/ctrlProps/ctrlProp3.xml><?xml version="1.0" encoding="utf-8"?>
<formControlPr xmlns="http://schemas.microsoft.com/office/spreadsheetml/2009/9/main" objectType="CheckBox" fmlaLink="calc!$BY$6" lockText="1"/>
</file>

<file path=xl/ctrlProps/ctrlProp4.xml><?xml version="1.0" encoding="utf-8"?>
<formControlPr xmlns="http://schemas.microsoft.com/office/spreadsheetml/2009/9/main" objectType="Drop" dropStyle="combo" dx="26" fmlaLink="calc!$BV$23" fmlaRange="calc!$BU$24:$BU$34" sel="2" val="0"/>
</file>

<file path=xl/ctrlProps/ctrlProp5.xml><?xml version="1.0" encoding="utf-8"?>
<formControlPr xmlns="http://schemas.microsoft.com/office/spreadsheetml/2009/9/main" objectType="Scroll" dx="26" fmlaLink="'Report Dashboard'!$L$18" max="100" min="1" page="0"/>
</file>

<file path=xl/drawings/_rels/drawing1.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5.xml"/><Relationship Id="rId3" Type="http://schemas.openxmlformats.org/officeDocument/2006/relationships/chart" Target="../charts/chart1.xml"/><Relationship Id="rId7" Type="http://schemas.openxmlformats.org/officeDocument/2006/relationships/image" Target="../media/image4.png"/><Relationship Id="rId12" Type="http://schemas.microsoft.com/office/2007/relationships/hdphoto" Target="../media/hdphoto2.wdp"/><Relationship Id="rId2" Type="http://schemas.openxmlformats.org/officeDocument/2006/relationships/image" Target="../media/image2.png"/><Relationship Id="rId1" Type="http://schemas.openxmlformats.org/officeDocument/2006/relationships/image" Target="../media/image1.png"/><Relationship Id="rId6" Type="http://schemas.microsoft.com/office/2007/relationships/hdphoto" Target="../media/hdphoto1.wdp"/><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chart" Target="../charts/chart7.xml"/><Relationship Id="rId10" Type="http://schemas.openxmlformats.org/officeDocument/2006/relationships/chart" Target="../charts/chart4.xml"/><Relationship Id="rId4" Type="http://schemas.openxmlformats.org/officeDocument/2006/relationships/chart" Target="../charts/chart2.xml"/><Relationship Id="rId9" Type="http://schemas.openxmlformats.org/officeDocument/2006/relationships/image" Target="../media/image5.jpeg"/><Relationship Id="rId1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33</xdr:col>
      <xdr:colOff>141514</xdr:colOff>
      <xdr:row>2</xdr:row>
      <xdr:rowOff>133350</xdr:rowOff>
    </xdr:from>
    <xdr:to>
      <xdr:col>36</xdr:col>
      <xdr:colOff>25399</xdr:colOff>
      <xdr:row>11</xdr:row>
      <xdr:rowOff>32657</xdr:rowOff>
    </xdr:to>
    <xdr:sp macro="" textlink="">
      <xdr:nvSpPr>
        <xdr:cNvPr id="67" name="Rectangle: Rounded Corners 66">
          <a:extLst>
            <a:ext uri="{FF2B5EF4-FFF2-40B4-BE49-F238E27FC236}">
              <a16:creationId xmlns:a16="http://schemas.microsoft.com/office/drawing/2014/main" id="{00000000-0008-0000-0000-000043000000}"/>
            </a:ext>
          </a:extLst>
        </xdr:cNvPr>
        <xdr:cNvSpPr/>
      </xdr:nvSpPr>
      <xdr:spPr>
        <a:xfrm>
          <a:off x="9965944001" y="542925"/>
          <a:ext cx="2198460" cy="1718582"/>
        </a:xfrm>
        <a:prstGeom prst="roundRect">
          <a:avLst>
            <a:gd name="adj" fmla="val 9359"/>
          </a:avLst>
        </a:prstGeom>
        <a:solidFill>
          <a:srgbClr val="2A2E32"/>
        </a:solidFill>
        <a:ln w="381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23</xdr:col>
      <xdr:colOff>237067</xdr:colOff>
      <xdr:row>14</xdr:row>
      <xdr:rowOff>59266</xdr:rowOff>
    </xdr:from>
    <xdr:to>
      <xdr:col>36</xdr:col>
      <xdr:colOff>19050</xdr:colOff>
      <xdr:row>17</xdr:row>
      <xdr:rowOff>25400</xdr:rowOff>
    </xdr:to>
    <xdr:sp macro="" textlink="">
      <xdr:nvSpPr>
        <xdr:cNvPr id="61" name="Rectangle: Rounded Corners 60">
          <a:extLst>
            <a:ext uri="{FF2B5EF4-FFF2-40B4-BE49-F238E27FC236}">
              <a16:creationId xmlns:a16="http://schemas.microsoft.com/office/drawing/2014/main" id="{00000000-0008-0000-0000-00003D000000}"/>
            </a:ext>
          </a:extLst>
        </xdr:cNvPr>
        <xdr:cNvSpPr/>
      </xdr:nvSpPr>
      <xdr:spPr>
        <a:xfrm>
          <a:off x="9965950350" y="3021541"/>
          <a:ext cx="7697258" cy="823384"/>
        </a:xfrm>
        <a:prstGeom prst="roundRect">
          <a:avLst>
            <a:gd name="adj" fmla="val 9359"/>
          </a:avLst>
        </a:prstGeom>
        <a:solidFill>
          <a:srgbClr val="2A2E32"/>
        </a:solidFill>
        <a:ln w="381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6</xdr:col>
      <xdr:colOff>677333</xdr:colOff>
      <xdr:row>0</xdr:row>
      <xdr:rowOff>0</xdr:rowOff>
    </xdr:from>
    <xdr:to>
      <xdr:col>14</xdr:col>
      <xdr:colOff>401531</xdr:colOff>
      <xdr:row>1</xdr:row>
      <xdr:rowOff>101600</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9979216135" y="0"/>
          <a:ext cx="5066665"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fa-IR" sz="1600" b="1">
              <a:solidFill>
                <a:sysClr val="windowText" lastClr="000000"/>
              </a:solidFill>
              <a:cs typeface="B Titr" panose="00000700000000000000" pitchFamily="2" charset="-78"/>
            </a:rPr>
            <a:t>گزارش</a:t>
          </a:r>
          <a:r>
            <a:rPr lang="fa-IR" sz="1600" b="1" baseline="0">
              <a:solidFill>
                <a:sysClr val="windowText" lastClr="000000"/>
              </a:solidFill>
              <a:cs typeface="B Titr" panose="00000700000000000000" pitchFamily="2" charset="-78"/>
            </a:rPr>
            <a:t> مدیریتی تجمیعی عملکرد</a:t>
          </a:r>
          <a:r>
            <a:rPr lang="en-US" sz="1600" b="1" baseline="0">
              <a:solidFill>
                <a:sysClr val="windowText" lastClr="000000"/>
              </a:solidFill>
              <a:cs typeface="B Titr" panose="00000700000000000000" pitchFamily="2" charset="-78"/>
            </a:rPr>
            <a:t> </a:t>
          </a:r>
          <a:r>
            <a:rPr lang="fa-IR" sz="1600" b="1" baseline="0">
              <a:solidFill>
                <a:sysClr val="windowText" lastClr="000000"/>
              </a:solidFill>
              <a:cs typeface="B Titr" panose="00000700000000000000" pitchFamily="2" charset="-78"/>
            </a:rPr>
            <a:t> فروش کربن بارد</a:t>
          </a:r>
          <a:endParaRPr lang="en-US" sz="1600" b="1">
            <a:solidFill>
              <a:sysClr val="windowText" lastClr="000000"/>
            </a:solidFill>
            <a:cs typeface="B Titr" panose="00000700000000000000" pitchFamily="2" charset="-78"/>
          </a:endParaRPr>
        </a:p>
      </xdr:txBody>
    </xdr:sp>
    <xdr:clientData/>
  </xdr:twoCellAnchor>
  <xdr:twoCellAnchor>
    <xdr:from>
      <xdr:col>16</xdr:col>
      <xdr:colOff>414867</xdr:colOff>
      <xdr:row>14</xdr:row>
      <xdr:rowOff>25400</xdr:rowOff>
    </xdr:from>
    <xdr:to>
      <xdr:col>23</xdr:col>
      <xdr:colOff>16932</xdr:colOff>
      <xdr:row>15</xdr:row>
      <xdr:rowOff>262467</xdr:rowOff>
    </xdr:to>
    <xdr:sp macro="" textlink="">
      <xdr:nvSpPr>
        <xdr:cNvPr id="7" name="Rectangle: Rounded Corners 6">
          <a:extLst>
            <a:ext uri="{FF2B5EF4-FFF2-40B4-BE49-F238E27FC236}">
              <a16:creationId xmlns:a16="http://schemas.microsoft.com/office/drawing/2014/main" id="{00000000-0008-0000-0000-000007000000}"/>
            </a:ext>
          </a:extLst>
        </xdr:cNvPr>
        <xdr:cNvSpPr/>
      </xdr:nvSpPr>
      <xdr:spPr>
        <a:xfrm>
          <a:off x="10943666201" y="2988733"/>
          <a:ext cx="5664199" cy="558801"/>
        </a:xfrm>
        <a:prstGeom prst="roundRect">
          <a:avLst>
            <a:gd name="adj" fmla="val 11209"/>
          </a:avLst>
        </a:prstGeom>
        <a:solidFill>
          <a:srgbClr val="3A3F44"/>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r" rtl="1"/>
          <a:r>
            <a:rPr lang="fa-IR" sz="1100">
              <a:solidFill>
                <a:schemeClr val="lt1"/>
              </a:solidFill>
            </a:rPr>
            <a:t>  </a:t>
          </a:r>
          <a:r>
            <a:rPr lang="fa-IR" sz="1100">
              <a:noFill/>
            </a:rPr>
            <a:t>                                                                                        </a:t>
          </a:r>
          <a:r>
            <a:rPr lang="fa-IR" sz="1100" baseline="0">
              <a:noFill/>
            </a:rPr>
            <a:t> </a:t>
          </a:r>
          <a:r>
            <a:rPr lang="fa-IR" sz="1100">
              <a:solidFill>
                <a:schemeClr val="lt1"/>
              </a:solidFill>
            </a:rPr>
            <a:t>                                                                                   </a:t>
          </a:r>
          <a:r>
            <a:rPr lang="fa-IR" sz="1100" baseline="0">
              <a:solidFill>
                <a:schemeClr val="lt1"/>
              </a:solidFill>
            </a:rPr>
            <a:t>      </a:t>
          </a:r>
          <a:endParaRPr lang="en-US" sz="1100">
            <a:solidFill>
              <a:schemeClr val="lt1"/>
            </a:solidFill>
          </a:endParaRPr>
        </a:p>
      </xdr:txBody>
    </xdr:sp>
    <xdr:clientData/>
  </xdr:twoCellAnchor>
  <xdr:twoCellAnchor editAs="oneCell">
    <xdr:from>
      <xdr:col>36</xdr:col>
      <xdr:colOff>84667</xdr:colOff>
      <xdr:row>3</xdr:row>
      <xdr:rowOff>25401</xdr:rowOff>
    </xdr:from>
    <xdr:to>
      <xdr:col>38</xdr:col>
      <xdr:colOff>592668</xdr:colOff>
      <xdr:row>37</xdr:row>
      <xdr:rowOff>161925</xdr:rowOff>
    </xdr:to>
    <mc:AlternateContent xmlns:mc="http://schemas.openxmlformats.org/markup-compatibility/2006" xmlns:a14="http://schemas.microsoft.com/office/drawing/2010/main">
      <mc:Choice Requires="a14">
        <xdr:graphicFrame macro="">
          <xdr:nvGraphicFramePr>
            <xdr:cNvPr id="20" name="نام مشتری">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microsoft.com/office/drawing/2010/slicer">
              <sle:slicer xmlns:sle="http://schemas.microsoft.com/office/drawing/2010/slicer" name="نام مشتری"/>
            </a:graphicData>
          </a:graphic>
        </xdr:graphicFrame>
      </mc:Choice>
      <mc:Fallback xmlns="">
        <xdr:sp macro="" textlink="">
          <xdr:nvSpPr>
            <xdr:cNvPr id="0" name=""/>
            <xdr:cNvSpPr>
              <a:spLocks noTextEdit="1"/>
            </xdr:cNvSpPr>
          </xdr:nvSpPr>
          <xdr:spPr>
            <a:xfrm>
              <a:off x="10932964332" y="609601"/>
              <a:ext cx="1845734" cy="6578599"/>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35</xdr:col>
      <xdr:colOff>743472</xdr:colOff>
      <xdr:row>0</xdr:row>
      <xdr:rowOff>152400</xdr:rowOff>
    </xdr:from>
    <xdr:to>
      <xdr:col>38</xdr:col>
      <xdr:colOff>508013</xdr:colOff>
      <xdr:row>3</xdr:row>
      <xdr:rowOff>161925</xdr:rowOff>
    </xdr:to>
    <xdr:grpSp>
      <xdr:nvGrpSpPr>
        <xdr:cNvPr id="99" name="Group 98">
          <a:extLst>
            <a:ext uri="{FF2B5EF4-FFF2-40B4-BE49-F238E27FC236}">
              <a16:creationId xmlns:a16="http://schemas.microsoft.com/office/drawing/2014/main" id="{00000000-0008-0000-0000-000063000000}"/>
            </a:ext>
          </a:extLst>
        </xdr:cNvPr>
        <xdr:cNvGrpSpPr/>
      </xdr:nvGrpSpPr>
      <xdr:grpSpPr>
        <a:xfrm>
          <a:off x="10898454187" y="152400"/>
          <a:ext cx="1955291" cy="581025"/>
          <a:chOff x="9973095793" y="-79107"/>
          <a:chExt cx="1966224" cy="623900"/>
        </a:xfrm>
      </xdr:grpSpPr>
      <xdr:sp macro="" textlink="">
        <xdr:nvSpPr>
          <xdr:cNvPr id="24" name="Rectangle: Rounded Corners 23">
            <a:extLst>
              <a:ext uri="{FF2B5EF4-FFF2-40B4-BE49-F238E27FC236}">
                <a16:creationId xmlns:a16="http://schemas.microsoft.com/office/drawing/2014/main" id="{00000000-0008-0000-0000-000018000000}"/>
              </a:ext>
            </a:extLst>
          </xdr:cNvPr>
          <xdr:cNvSpPr/>
        </xdr:nvSpPr>
        <xdr:spPr>
          <a:xfrm>
            <a:off x="9973095793" y="118141"/>
            <a:ext cx="1805940" cy="353670"/>
          </a:xfrm>
          <a:prstGeom prst="roundRect">
            <a:avLst>
              <a:gd name="adj" fmla="val 24591"/>
            </a:avLst>
          </a:prstGeom>
          <a:solidFill>
            <a:schemeClr val="accent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solidFill>
                <a:schemeClr val="bg1"/>
              </a:solidFill>
            </a:endParaRPr>
          </a:p>
        </xdr:txBody>
      </xdr:sp>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4455704" y="-79107"/>
            <a:ext cx="606313" cy="623900"/>
          </a:xfrm>
          <a:prstGeom prst="rect">
            <a:avLst/>
          </a:prstGeom>
        </xdr:spPr>
      </xdr:pic>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9973134954" y="160020"/>
            <a:ext cx="1420491" cy="25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400" b="1" i="0" u="none" strike="noStrike">
                <a:solidFill>
                  <a:srgbClr val="FFFFFF"/>
                </a:solidFill>
                <a:latin typeface="Calibri"/>
                <a:cs typeface="Koodak" panose="00000700000000000000" pitchFamily="2" charset="-78"/>
              </a:rPr>
              <a:t>لیست</a:t>
            </a:r>
            <a:r>
              <a:rPr lang="fa-IR" sz="1400" b="1" i="0" u="none" strike="noStrike" baseline="0">
                <a:solidFill>
                  <a:srgbClr val="FFFFFF"/>
                </a:solidFill>
                <a:latin typeface="Calibri"/>
                <a:cs typeface="Koodak" panose="00000700000000000000" pitchFamily="2" charset="-78"/>
              </a:rPr>
              <a:t> مشتریان</a:t>
            </a:r>
            <a:endParaRPr lang="en-US" sz="1400" b="1" i="0" u="none" strike="noStrike">
              <a:solidFill>
                <a:srgbClr val="FFFFFF"/>
              </a:solidFill>
              <a:latin typeface="Calibri"/>
              <a:cs typeface="Koodak" panose="00000700000000000000" pitchFamily="2" charset="-78"/>
            </a:endParaRPr>
          </a:p>
        </xdr:txBody>
      </xdr:sp>
    </xdr:grpSp>
    <xdr:clientData/>
  </xdr:twoCellAnchor>
  <xdr:twoCellAnchor>
    <xdr:from>
      <xdr:col>11</xdr:col>
      <xdr:colOff>28613</xdr:colOff>
      <xdr:row>14</xdr:row>
      <xdr:rowOff>245533</xdr:rowOff>
    </xdr:from>
    <xdr:to>
      <xdr:col>17</xdr:col>
      <xdr:colOff>714943</xdr:colOff>
      <xdr:row>15</xdr:row>
      <xdr:rowOff>251290</xdr:rowOff>
    </xdr:to>
    <xdr:grpSp>
      <xdr:nvGrpSpPr>
        <xdr:cNvPr id="18" name="Group 17">
          <a:extLst>
            <a:ext uri="{FF2B5EF4-FFF2-40B4-BE49-F238E27FC236}">
              <a16:creationId xmlns:a16="http://schemas.microsoft.com/office/drawing/2014/main" id="{00000000-0008-0000-0000-000012000000}"/>
            </a:ext>
          </a:extLst>
        </xdr:cNvPr>
        <xdr:cNvGrpSpPr/>
      </xdr:nvGrpSpPr>
      <xdr:grpSpPr>
        <a:xfrm>
          <a:off x="10913544407" y="3093508"/>
          <a:ext cx="6248930" cy="329607"/>
          <a:chOff x="9978953440" y="2420362"/>
          <a:chExt cx="2894729" cy="270832"/>
        </a:xfrm>
      </xdr:grpSpPr>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cstate="print">
            <a:biLevel thresh="75000"/>
            <a:extLst>
              <a:ext uri="{28A0092B-C50C-407E-A947-70E740481C1C}">
                <a14:useLocalDpi xmlns:a14="http://schemas.microsoft.com/office/drawing/2010/main" val="0"/>
              </a:ext>
            </a:extLst>
          </a:blip>
          <a:stretch>
            <a:fillRect/>
          </a:stretch>
        </xdr:blipFill>
        <xdr:spPr>
          <a:xfrm>
            <a:off x="9981632722" y="2431550"/>
            <a:ext cx="215447" cy="259644"/>
          </a:xfrm>
          <a:prstGeom prst="rect">
            <a:avLst/>
          </a:prstGeom>
        </xdr:spPr>
      </xdr:pic>
      <xdr:grpSp>
        <xdr:nvGrpSpPr>
          <xdr:cNvPr id="17" name="Group 16">
            <a:extLst>
              <a:ext uri="{FF2B5EF4-FFF2-40B4-BE49-F238E27FC236}">
                <a16:creationId xmlns:a16="http://schemas.microsoft.com/office/drawing/2014/main" id="{00000000-0008-0000-0000-000011000000}"/>
              </a:ext>
            </a:extLst>
          </xdr:cNvPr>
          <xdr:cNvGrpSpPr/>
        </xdr:nvGrpSpPr>
        <xdr:grpSpPr>
          <a:xfrm>
            <a:off x="9978953440" y="2420362"/>
            <a:ext cx="2682517" cy="257876"/>
            <a:chOff x="9978953440" y="2420362"/>
            <a:chExt cx="2682517" cy="257876"/>
          </a:xfrm>
        </xdr:grpSpPr>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9980044467" y="2426778"/>
              <a:ext cx="159149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200" b="0" i="0" u="none" strike="noStrike" baseline="0">
                  <a:solidFill>
                    <a:sysClr val="windowText" lastClr="000000"/>
                  </a:solidFill>
                  <a:latin typeface="Calibri"/>
                  <a:cs typeface="B Titr" panose="00000700000000000000" pitchFamily="2" charset="-78"/>
                </a:rPr>
                <a:t>جزئیات سفارشات شرکت </a:t>
              </a:r>
              <a:endParaRPr lang="en-US" sz="1200" b="0" i="0" u="none" strike="noStrike">
                <a:solidFill>
                  <a:sysClr val="windowText" lastClr="000000"/>
                </a:solidFill>
                <a:latin typeface="Calibri"/>
                <a:cs typeface="B Titr" panose="00000700000000000000" pitchFamily="2" charset="-78"/>
              </a:endParaRPr>
            </a:p>
          </xdr:txBody>
        </xdr:sp>
        <xdr:sp macro="" textlink="calc!AA3">
          <xdr:nvSpPr>
            <xdr:cNvPr id="39" name="TextBox 38">
              <a:extLst>
                <a:ext uri="{FF2B5EF4-FFF2-40B4-BE49-F238E27FC236}">
                  <a16:creationId xmlns:a16="http://schemas.microsoft.com/office/drawing/2014/main" id="{00000000-0008-0000-0000-000027000000}"/>
                </a:ext>
              </a:extLst>
            </xdr:cNvPr>
            <xdr:cNvSpPr txBox="1"/>
          </xdr:nvSpPr>
          <xdr:spPr>
            <a:xfrm>
              <a:off x="9978953440" y="2420362"/>
              <a:ext cx="1994416" cy="251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fld id="{7D6DDFFD-CE04-492C-9391-481D27C2A82C}" type="TxLink">
                <a:rPr lang="fa-IR" sz="1300" b="1" i="0" u="none" strike="noStrike">
                  <a:solidFill>
                    <a:schemeClr val="accent4"/>
                  </a:solidFill>
                  <a:latin typeface="Calibri"/>
                  <a:cs typeface="B Titr" panose="00000700000000000000" pitchFamily="2" charset="-78"/>
                </a:rPr>
                <a:pPr algn="r" rtl="1"/>
                <a:t>طوس قزوین</a:t>
              </a:fld>
              <a:endParaRPr lang="en-US" sz="1300" b="1" i="0" u="none" strike="noStrike">
                <a:solidFill>
                  <a:schemeClr val="accent4"/>
                </a:solidFill>
                <a:latin typeface="Calibri"/>
                <a:cs typeface="B Titr" panose="00000700000000000000" pitchFamily="2" charset="-78"/>
              </a:endParaRPr>
            </a:p>
          </xdr:txBody>
        </xdr:sp>
      </xdr:grpSp>
    </xdr:grpSp>
    <xdr:clientData/>
  </xdr:twoCellAnchor>
  <xdr:twoCellAnchor>
    <xdr:from>
      <xdr:col>21</xdr:col>
      <xdr:colOff>583353</xdr:colOff>
      <xdr:row>14</xdr:row>
      <xdr:rowOff>169335</xdr:rowOff>
    </xdr:from>
    <xdr:to>
      <xdr:col>23</xdr:col>
      <xdr:colOff>25401</xdr:colOff>
      <xdr:row>16</xdr:row>
      <xdr:rowOff>72812</xdr:rowOff>
    </xdr:to>
    <xdr:graphicFrame macro="">
      <xdr:nvGraphicFramePr>
        <xdr:cNvPr id="46" name="Chart 45">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614615</xdr:colOff>
      <xdr:row>14</xdr:row>
      <xdr:rowOff>48034</xdr:rowOff>
    </xdr:from>
    <xdr:to>
      <xdr:col>23</xdr:col>
      <xdr:colOff>96118</xdr:colOff>
      <xdr:row>14</xdr:row>
      <xdr:rowOff>258010</xdr:rowOff>
    </xdr:to>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9973786050" y="3063950"/>
          <a:ext cx="1081703" cy="209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900" b="1" i="0" u="none" strike="noStrike">
              <a:solidFill>
                <a:srgbClr val="FFFFFF"/>
              </a:solidFill>
              <a:latin typeface="Calibri"/>
              <a:cs typeface="B Nazanin" panose="00000400000000000000" pitchFamily="2" charset="-78"/>
            </a:rPr>
            <a:t>% حمل شده سفارشات</a:t>
          </a:r>
          <a:endParaRPr lang="en-US" sz="900" b="1" i="0" u="none" strike="noStrike">
            <a:solidFill>
              <a:srgbClr val="FFFFFF"/>
            </a:solidFill>
            <a:latin typeface="Calibri"/>
            <a:cs typeface="B Nazanin" panose="00000400000000000000" pitchFamily="2" charset="-78"/>
          </a:endParaRPr>
        </a:p>
      </xdr:txBody>
    </xdr:sp>
    <xdr:clientData/>
  </xdr:twoCellAnchor>
  <xdr:twoCellAnchor>
    <xdr:from>
      <xdr:col>20</xdr:col>
      <xdr:colOff>504825</xdr:colOff>
      <xdr:row>14</xdr:row>
      <xdr:rowOff>76681</xdr:rowOff>
    </xdr:from>
    <xdr:to>
      <xdr:col>22</xdr:col>
      <xdr:colOff>186188</xdr:colOff>
      <xdr:row>14</xdr:row>
      <xdr:rowOff>276224</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9974555737" y="3038956"/>
          <a:ext cx="1262513" cy="199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900" b="1" i="0" u="none" strike="noStrike">
              <a:solidFill>
                <a:srgbClr val="FFFFFF"/>
              </a:solidFill>
              <a:latin typeface="Calibri"/>
              <a:cs typeface="B Nazanin" panose="00000400000000000000" pitchFamily="2" charset="-78"/>
            </a:rPr>
            <a:t>مانده</a:t>
          </a:r>
          <a:r>
            <a:rPr lang="fa-IR" sz="900" b="1" i="0" u="none" strike="noStrike" baseline="0">
              <a:solidFill>
                <a:srgbClr val="FFFFFF"/>
              </a:solidFill>
              <a:latin typeface="Calibri"/>
              <a:cs typeface="B Nazanin" panose="00000400000000000000" pitchFamily="2" charset="-78"/>
            </a:rPr>
            <a:t> سفارش (کیلوگرم)</a:t>
          </a:r>
          <a:endParaRPr lang="en-US" sz="900" b="1" i="0" u="none" strike="noStrike">
            <a:solidFill>
              <a:srgbClr val="FFFFFF"/>
            </a:solidFill>
            <a:latin typeface="Calibri"/>
            <a:cs typeface="B Nazanin" panose="00000400000000000000" pitchFamily="2" charset="-78"/>
          </a:endParaRPr>
        </a:p>
      </xdr:txBody>
    </xdr:sp>
    <xdr:clientData/>
  </xdr:twoCellAnchor>
  <xdr:twoCellAnchor>
    <xdr:from>
      <xdr:col>20</xdr:col>
      <xdr:colOff>590508</xdr:colOff>
      <xdr:row>14</xdr:row>
      <xdr:rowOff>100644</xdr:rowOff>
    </xdr:from>
    <xdr:to>
      <xdr:col>22</xdr:col>
      <xdr:colOff>18313</xdr:colOff>
      <xdr:row>16</xdr:row>
      <xdr:rowOff>95564</xdr:rowOff>
    </xdr:to>
    <xdr:sp macro="" textlink="calc!CO5">
      <xdr:nvSpPr>
        <xdr:cNvPr id="49" name="TextBox 48">
          <a:extLst>
            <a:ext uri="{FF2B5EF4-FFF2-40B4-BE49-F238E27FC236}">
              <a16:creationId xmlns:a16="http://schemas.microsoft.com/office/drawing/2014/main" id="{00000000-0008-0000-0000-000031000000}"/>
            </a:ext>
          </a:extLst>
        </xdr:cNvPr>
        <xdr:cNvSpPr txBox="1"/>
      </xdr:nvSpPr>
      <xdr:spPr>
        <a:xfrm>
          <a:off x="9974723612" y="3062919"/>
          <a:ext cx="1008955" cy="614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rtl="1"/>
          <a:fld id="{F78BFF50-AA61-46B9-B039-BB3FFD1851F1}" type="TxLink">
            <a:rPr lang="en-US" sz="1400" b="1" i="0" u="none" strike="noStrike">
              <a:ln>
                <a:noFill/>
              </a:ln>
              <a:solidFill>
                <a:schemeClr val="accent2"/>
              </a:solidFill>
              <a:latin typeface="Calibri"/>
              <a:ea typeface="Calibri"/>
              <a:cs typeface="B Nazanin" panose="00000400000000000000" pitchFamily="2" charset="-78"/>
            </a:rPr>
            <a:pPr marL="0" indent="0" algn="r" rtl="1"/>
            <a:t>1,719,035</a:t>
          </a:fld>
          <a:endParaRPr lang="en-US" sz="1400" b="1" i="0" u="none" strike="noStrike">
            <a:ln>
              <a:noFill/>
            </a:ln>
            <a:solidFill>
              <a:schemeClr val="accent2"/>
            </a:solidFill>
            <a:latin typeface="Calibri"/>
            <a:ea typeface="Calibri"/>
            <a:cs typeface="B Nazanin" panose="00000400000000000000" pitchFamily="2" charset="-78"/>
          </a:endParaRPr>
        </a:p>
      </xdr:txBody>
    </xdr:sp>
    <xdr:clientData/>
  </xdr:twoCellAnchor>
  <xdr:twoCellAnchor>
    <xdr:from>
      <xdr:col>4</xdr:col>
      <xdr:colOff>95255</xdr:colOff>
      <xdr:row>1</xdr:row>
      <xdr:rowOff>169340</xdr:rowOff>
    </xdr:from>
    <xdr:to>
      <xdr:col>11</xdr:col>
      <xdr:colOff>101600</xdr:colOff>
      <xdr:row>13</xdr:row>
      <xdr:rowOff>237068</xdr:rowOff>
    </xdr:to>
    <xdr:grpSp>
      <xdr:nvGrpSpPr>
        <xdr:cNvPr id="83" name="Group 82">
          <a:extLst>
            <a:ext uri="{FF2B5EF4-FFF2-40B4-BE49-F238E27FC236}">
              <a16:creationId xmlns:a16="http://schemas.microsoft.com/office/drawing/2014/main" id="{00000000-0008-0000-0000-000053000000}"/>
            </a:ext>
          </a:extLst>
        </xdr:cNvPr>
        <xdr:cNvGrpSpPr/>
      </xdr:nvGrpSpPr>
      <xdr:grpSpPr>
        <a:xfrm>
          <a:off x="10919720350" y="397940"/>
          <a:ext cx="4997445" cy="2363253"/>
          <a:chOff x="9981063232" y="341373"/>
          <a:chExt cx="4215361" cy="2312125"/>
        </a:xfrm>
        <a:solidFill>
          <a:schemeClr val="accent1">
            <a:lumMod val="60000"/>
            <a:lumOff val="40000"/>
          </a:schemeClr>
        </a:solidFill>
      </xdr:grpSpPr>
      <xdr:grpSp>
        <xdr:nvGrpSpPr>
          <xdr:cNvPr id="63" name="Group 62">
            <a:extLst>
              <a:ext uri="{FF2B5EF4-FFF2-40B4-BE49-F238E27FC236}">
                <a16:creationId xmlns:a16="http://schemas.microsoft.com/office/drawing/2014/main" id="{00000000-0008-0000-0000-00003F000000}"/>
              </a:ext>
            </a:extLst>
          </xdr:cNvPr>
          <xdr:cNvGrpSpPr/>
        </xdr:nvGrpSpPr>
        <xdr:grpSpPr>
          <a:xfrm>
            <a:off x="9981063232" y="341373"/>
            <a:ext cx="4215361" cy="2312125"/>
            <a:chOff x="9980933692" y="348993"/>
            <a:chExt cx="4215361" cy="2312125"/>
          </a:xfrm>
          <a:grpFill/>
        </xdr:grpSpPr>
        <xdr:sp macro="" textlink="">
          <xdr:nvSpPr>
            <xdr:cNvPr id="77" name="Rectangle: Rounded Corners 76">
              <a:extLst>
                <a:ext uri="{FF2B5EF4-FFF2-40B4-BE49-F238E27FC236}">
                  <a16:creationId xmlns:a16="http://schemas.microsoft.com/office/drawing/2014/main" id="{00000000-0008-0000-0000-00004D000000}"/>
                </a:ext>
              </a:extLst>
            </xdr:cNvPr>
            <xdr:cNvSpPr/>
          </xdr:nvSpPr>
          <xdr:spPr>
            <a:xfrm>
              <a:off x="9981248068" y="365761"/>
              <a:ext cx="3900985" cy="2295357"/>
            </a:xfrm>
            <a:prstGeom prst="roundRect">
              <a:avLst>
                <a:gd name="adj" fmla="val 2917"/>
              </a:avLst>
            </a:prstGeom>
            <a:solidFill>
              <a:srgbClr val="2A2E32"/>
            </a:solidFill>
            <a:ln w="381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solidFill>
                  <a:srgbClr val="FFFFFF"/>
                </a:solidFill>
              </a:endParaRPr>
            </a:p>
          </xdr:txBody>
        </xdr:sp>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9983556746" y="824579"/>
              <a:ext cx="1405461"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600" b="0" i="0" u="none" strike="noStrike">
                  <a:solidFill>
                    <a:srgbClr val="FFFFFF"/>
                  </a:solidFill>
                  <a:latin typeface="SamanBank" panose="00000500000000000000" pitchFamily="2" charset="-78"/>
                  <a:cs typeface="B Nazanin" panose="00000400000000000000" pitchFamily="2" charset="-78"/>
                </a:rPr>
                <a:t>میزان</a:t>
              </a:r>
              <a:r>
                <a:rPr lang="fa-IR" sz="1600" b="0" i="0" u="none" strike="noStrike" baseline="0">
                  <a:solidFill>
                    <a:srgbClr val="FFFFFF"/>
                  </a:solidFill>
                  <a:latin typeface="SamanBank" panose="00000500000000000000" pitchFamily="2" charset="-78"/>
                  <a:cs typeface="B Nazanin" panose="00000400000000000000" pitchFamily="2" charset="-78"/>
                </a:rPr>
                <a:t> کل سفارشات</a:t>
              </a:r>
              <a:endParaRPr lang="fa-IR" sz="1600" b="0" i="0" u="none" strike="noStrike">
                <a:solidFill>
                  <a:srgbClr val="FFFFFF"/>
                </a:solidFill>
                <a:latin typeface="SamanBank" panose="00000500000000000000" pitchFamily="2" charset="-78"/>
                <a:cs typeface="B Nazanin" panose="00000400000000000000" pitchFamily="2" charset="-78"/>
              </a:endParaRPr>
            </a:p>
          </xdr:txBody>
        </xdr:sp>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9981997878" y="1684636"/>
              <a:ext cx="1043940" cy="213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050" b="0" i="0" u="none" strike="noStrike">
                  <a:solidFill>
                    <a:srgbClr val="FFFFFF"/>
                  </a:solidFill>
                  <a:latin typeface="SamanBank" panose="00000500000000000000" pitchFamily="2" charset="-78"/>
                  <a:cs typeface="SamanBank" panose="00000500000000000000" pitchFamily="2" charset="-78"/>
                </a:rPr>
                <a:t>میزان</a:t>
              </a:r>
              <a:r>
                <a:rPr lang="fa-IR" sz="1050" b="0" i="0" u="none" strike="noStrike" baseline="0">
                  <a:solidFill>
                    <a:srgbClr val="FFFFFF"/>
                  </a:solidFill>
                  <a:latin typeface="SamanBank" panose="00000500000000000000" pitchFamily="2" charset="-78"/>
                  <a:cs typeface="SamanBank" panose="00000500000000000000" pitchFamily="2" charset="-78"/>
                </a:rPr>
                <a:t> کل تحویل شده</a:t>
              </a:r>
              <a:endParaRPr lang="fa-IR" sz="1050" b="0" i="0" u="none" strike="noStrike">
                <a:solidFill>
                  <a:srgbClr val="FFFFFF"/>
                </a:solidFill>
                <a:latin typeface="SamanBank" panose="00000500000000000000" pitchFamily="2" charset="-78"/>
                <a:cs typeface="SamanBank" panose="00000500000000000000" pitchFamily="2" charset="-78"/>
              </a:endParaRPr>
            </a:p>
          </xdr:txBody>
        </xdr:sp>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9983418915" y="1592809"/>
              <a:ext cx="1641566" cy="314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600" b="0" i="0" u="none" strike="noStrike">
                  <a:solidFill>
                    <a:srgbClr val="FFFFFF"/>
                  </a:solidFill>
                  <a:latin typeface="SamanBank" panose="00000500000000000000" pitchFamily="2" charset="-78"/>
                  <a:cs typeface="B Nazanin" panose="00000400000000000000" pitchFamily="2" charset="-78"/>
                </a:rPr>
                <a:t>میزان</a:t>
              </a:r>
              <a:r>
                <a:rPr lang="fa-IR" sz="1600" b="0" i="0" u="none" strike="noStrike" baseline="0">
                  <a:solidFill>
                    <a:srgbClr val="FFFFFF"/>
                  </a:solidFill>
                  <a:latin typeface="SamanBank" panose="00000500000000000000" pitchFamily="2" charset="-78"/>
                  <a:cs typeface="B Nazanin" panose="00000400000000000000" pitchFamily="2" charset="-78"/>
                </a:rPr>
                <a:t> کل حمل نشده </a:t>
              </a:r>
              <a:endParaRPr lang="fa-IR" sz="1600" b="0" i="0" u="none" strike="noStrike">
                <a:solidFill>
                  <a:srgbClr val="FFFFFF"/>
                </a:solidFill>
                <a:latin typeface="SamanBank" panose="00000500000000000000" pitchFamily="2" charset="-78"/>
                <a:cs typeface="B Nazanin" panose="00000400000000000000" pitchFamily="2" charset="-78"/>
              </a:endParaRPr>
            </a:p>
          </xdr:txBody>
        </xdr:sp>
        <xdr:graphicFrame macro="">
          <xdr:nvGraphicFramePr>
            <xdr:cNvPr id="69" name="Chart 68">
              <a:extLst>
                <a:ext uri="{FF2B5EF4-FFF2-40B4-BE49-F238E27FC236}">
                  <a16:creationId xmlns:a16="http://schemas.microsoft.com/office/drawing/2014/main" id="{00000000-0008-0000-0000-000045000000}"/>
                </a:ext>
              </a:extLst>
            </xdr:cNvPr>
            <xdr:cNvGraphicFramePr>
              <a:graphicFrameLocks/>
            </xdr:cNvGraphicFramePr>
          </xdr:nvGraphicFramePr>
          <xdr:xfrm>
            <a:off x="9980933692" y="348993"/>
            <a:ext cx="3182100" cy="2125090"/>
          </xdr:xfrm>
          <a:graphic>
            <a:graphicData uri="http://schemas.openxmlformats.org/drawingml/2006/chart">
              <c:chart xmlns:c="http://schemas.openxmlformats.org/drawingml/2006/chart" xmlns:r="http://schemas.openxmlformats.org/officeDocument/2006/relationships" r:id="rId4"/>
            </a:graphicData>
          </a:graphic>
        </xdr:graphicFrame>
        <xdr:sp macro="" textlink="calc!P13">
          <xdr:nvSpPr>
            <xdr:cNvPr id="73" name="TextBox 72">
              <a:extLst>
                <a:ext uri="{FF2B5EF4-FFF2-40B4-BE49-F238E27FC236}">
                  <a16:creationId xmlns:a16="http://schemas.microsoft.com/office/drawing/2014/main" id="{00000000-0008-0000-0000-000049000000}"/>
                </a:ext>
              </a:extLst>
            </xdr:cNvPr>
            <xdr:cNvSpPr txBox="1"/>
          </xdr:nvSpPr>
          <xdr:spPr>
            <a:xfrm>
              <a:off x="9983673603" y="1134680"/>
              <a:ext cx="1348740"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fld id="{3DE87B50-BC9C-4717-8EA7-ACA17CDD7231}" type="TxLink">
                <a:rPr lang="en-US" sz="3200" b="1" i="0" u="none" strike="noStrike">
                  <a:solidFill>
                    <a:srgbClr val="FFFFFF"/>
                  </a:solidFill>
                  <a:latin typeface="Calibri"/>
                  <a:cs typeface="Koodak" panose="00000700000000000000" pitchFamily="2" charset="-78"/>
                </a:rPr>
                <a:pPr algn="ctr" rtl="1"/>
                <a:t>24.19</a:t>
              </a:fld>
              <a:endParaRPr lang="en-US" sz="85700" b="1" i="0" u="none" strike="noStrike">
                <a:solidFill>
                  <a:srgbClr val="FFFFFF"/>
                </a:solidFill>
                <a:latin typeface="Calibri"/>
                <a:cs typeface="Koodak" panose="00000700000000000000" pitchFamily="2" charset="-78"/>
              </a:endParaRPr>
            </a:p>
          </xdr:txBody>
        </xdr:sp>
        <xdr:sp macro="" textlink="calc!O13">
          <xdr:nvSpPr>
            <xdr:cNvPr id="74" name="TextBox 73">
              <a:extLst>
                <a:ext uri="{FF2B5EF4-FFF2-40B4-BE49-F238E27FC236}">
                  <a16:creationId xmlns:a16="http://schemas.microsoft.com/office/drawing/2014/main" id="{00000000-0008-0000-0000-00004A000000}"/>
                </a:ext>
              </a:extLst>
            </xdr:cNvPr>
            <xdr:cNvSpPr txBox="1"/>
          </xdr:nvSpPr>
          <xdr:spPr>
            <a:xfrm>
              <a:off x="9981920832" y="1478075"/>
              <a:ext cx="1234440"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fld id="{15225412-F848-4AD6-B01B-D874CDD505B5}" type="TxLink">
                <a:rPr lang="en-US" sz="2400" b="1" i="0" u="none" strike="noStrike">
                  <a:solidFill>
                    <a:srgbClr val="FFFFFF"/>
                  </a:solidFill>
                  <a:latin typeface="Calibri"/>
                  <a:cs typeface="Koodak" panose="00000700000000000000" pitchFamily="2" charset="-78"/>
                </a:rPr>
                <a:pPr algn="ctr" rtl="1"/>
                <a:t>8.81</a:t>
              </a:fld>
              <a:endParaRPr lang="en-US" sz="23900" b="1" i="0" u="none" strike="noStrike">
                <a:solidFill>
                  <a:srgbClr val="FFFFFF"/>
                </a:solidFill>
                <a:latin typeface="Calibri"/>
                <a:cs typeface="Koodak" panose="00000700000000000000" pitchFamily="2" charset="-78"/>
              </a:endParaRPr>
            </a:p>
          </xdr:txBody>
        </xdr:sp>
        <xdr:sp macro="" textlink="calc!$O$9">
          <xdr:nvSpPr>
            <xdr:cNvPr id="81" name="TextBox 80">
              <a:extLst>
                <a:ext uri="{FF2B5EF4-FFF2-40B4-BE49-F238E27FC236}">
                  <a16:creationId xmlns:a16="http://schemas.microsoft.com/office/drawing/2014/main" id="{00000000-0008-0000-0000-000051000000}"/>
                </a:ext>
              </a:extLst>
            </xdr:cNvPr>
            <xdr:cNvSpPr txBox="1"/>
          </xdr:nvSpPr>
          <xdr:spPr>
            <a:xfrm>
              <a:off x="9983740908" y="1970755"/>
              <a:ext cx="1264920"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1"/>
              <a:fld id="{3062B1C8-59F7-473E-AB40-10A046A242C8}" type="TxLink">
                <a:rPr lang="en-US" sz="2800" b="0" i="0" u="none" strike="noStrike">
                  <a:solidFill>
                    <a:srgbClr val="FF0000"/>
                  </a:solidFill>
                  <a:latin typeface="Calibri"/>
                  <a:ea typeface="+mn-ea"/>
                  <a:cs typeface="Koodak" panose="00000700000000000000" pitchFamily="2" charset="-78"/>
                </a:rPr>
                <a:pPr marL="0" indent="0" algn="ctr" rtl="1"/>
                <a:t>15.373</a:t>
              </a:fld>
              <a:endParaRPr lang="en-US" sz="2800" b="0" i="0" u="none" strike="noStrike">
                <a:solidFill>
                  <a:srgbClr val="FF0000"/>
                </a:solidFill>
                <a:latin typeface="Calibri"/>
                <a:ea typeface="+mn-ea"/>
                <a:cs typeface="Koodak" panose="00000700000000000000" pitchFamily="2" charset="-78"/>
              </a:endParaRPr>
            </a:p>
          </xdr:txBody>
        </xdr:sp>
      </xdr:grpSp>
      <xdr:sp macro="" textlink="calc!$U$8">
        <xdr:nvSpPr>
          <xdr:cNvPr id="82" name="TextBox 81">
            <a:extLst>
              <a:ext uri="{FF2B5EF4-FFF2-40B4-BE49-F238E27FC236}">
                <a16:creationId xmlns:a16="http://schemas.microsoft.com/office/drawing/2014/main" id="{00000000-0008-0000-0000-000052000000}"/>
              </a:ext>
            </a:extLst>
          </xdr:cNvPr>
          <xdr:cNvSpPr txBox="1"/>
        </xdr:nvSpPr>
        <xdr:spPr>
          <a:xfrm>
            <a:off x="9982040438" y="1165792"/>
            <a:ext cx="1234440"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fld id="{95C1AB44-7FE0-422C-847A-067399A7FE4C}" type="TxLink">
              <a:rPr lang="en-US" sz="3600" b="0" i="0" u="none" strike="noStrike">
                <a:solidFill>
                  <a:srgbClr val="FFFFFF"/>
                </a:solidFill>
                <a:latin typeface="Digital-7" panose="02000000000000000000" pitchFamily="2" charset="0"/>
                <a:cs typeface="Koodak" panose="00000700000000000000" pitchFamily="2" charset="-78"/>
              </a:rPr>
              <a:pPr algn="ctr" rtl="1"/>
              <a:t>36.4%</a:t>
            </a:fld>
            <a:endParaRPr lang="en-US" sz="6000" b="1" i="0" u="none" strike="noStrike">
              <a:solidFill>
                <a:srgbClr val="FFFFFF"/>
              </a:solidFill>
              <a:latin typeface="Digital-7" panose="02000000000000000000" pitchFamily="2" charset="0"/>
              <a:cs typeface="Koodak" panose="00000700000000000000" pitchFamily="2" charset="-78"/>
            </a:endParaRPr>
          </a:p>
        </xdr:txBody>
      </xdr:sp>
    </xdr:grpSp>
    <xdr:clientData/>
  </xdr:twoCellAnchor>
  <xdr:twoCellAnchor>
    <xdr:from>
      <xdr:col>4</xdr:col>
      <xdr:colOff>482602</xdr:colOff>
      <xdr:row>2</xdr:row>
      <xdr:rowOff>7619</xdr:rowOff>
    </xdr:from>
    <xdr:to>
      <xdr:col>8</xdr:col>
      <xdr:colOff>270933</xdr:colOff>
      <xdr:row>3</xdr:row>
      <xdr:rowOff>67731</xdr:rowOff>
    </xdr:to>
    <xdr:sp macro="" textlink="">
      <xdr:nvSpPr>
        <xdr:cNvPr id="94" name="TextBox 93">
          <a:extLst>
            <a:ext uri="{FF2B5EF4-FFF2-40B4-BE49-F238E27FC236}">
              <a16:creationId xmlns:a16="http://schemas.microsoft.com/office/drawing/2014/main" id="{00000000-0008-0000-0000-00005E000000}"/>
            </a:ext>
          </a:extLst>
        </xdr:cNvPr>
        <xdr:cNvSpPr txBox="1"/>
      </xdr:nvSpPr>
      <xdr:spPr>
        <a:xfrm>
          <a:off x="9983622400" y="380152"/>
          <a:ext cx="2556931" cy="246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400" b="0" i="0" u="none" strike="noStrike">
              <a:solidFill>
                <a:srgbClr val="FFFFFF"/>
              </a:solidFill>
              <a:latin typeface="Calibri"/>
              <a:cs typeface="B Titr" panose="00000700000000000000" pitchFamily="2" charset="-78"/>
            </a:rPr>
            <a:t>بررسی</a:t>
          </a:r>
          <a:r>
            <a:rPr lang="fa-IR" sz="1400" b="0" i="0" u="none" strike="noStrike" baseline="0">
              <a:solidFill>
                <a:srgbClr val="FFFFFF"/>
              </a:solidFill>
              <a:latin typeface="Calibri"/>
              <a:cs typeface="B Titr" panose="00000700000000000000" pitchFamily="2" charset="-78"/>
            </a:rPr>
            <a:t> کلی سفارشات</a:t>
          </a:r>
          <a:r>
            <a:rPr lang="fa-IR" sz="1100" b="0" i="0" u="none" strike="noStrike" baseline="0">
              <a:solidFill>
                <a:srgbClr val="FFFFFF"/>
              </a:solidFill>
              <a:latin typeface="Calibri"/>
              <a:cs typeface="B Titr" panose="00000700000000000000" pitchFamily="2" charset="-78"/>
            </a:rPr>
            <a:t>( هزار تن)</a:t>
          </a:r>
          <a:endParaRPr lang="fa-IR" sz="1400" b="0" i="0" u="none" strike="noStrike" baseline="0">
            <a:solidFill>
              <a:srgbClr val="FFFFFF"/>
            </a:solidFill>
            <a:latin typeface="Calibri"/>
            <a:cs typeface="B Titr" panose="00000700000000000000" pitchFamily="2" charset="-78"/>
          </a:endParaRPr>
        </a:p>
      </xdr:txBody>
    </xdr:sp>
    <xdr:clientData/>
  </xdr:twoCellAnchor>
  <xdr:twoCellAnchor>
    <xdr:from>
      <xdr:col>4</xdr:col>
      <xdr:colOff>211671</xdr:colOff>
      <xdr:row>2</xdr:row>
      <xdr:rowOff>31140</xdr:rowOff>
    </xdr:from>
    <xdr:to>
      <xdr:col>4</xdr:col>
      <xdr:colOff>504209</xdr:colOff>
      <xdr:row>3</xdr:row>
      <xdr:rowOff>148167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9985869857" y="446007"/>
          <a:ext cx="292538" cy="303293"/>
        </a:xfrm>
        <a:prstGeom prst="rect">
          <a:avLst/>
        </a:prstGeom>
      </xdr:spPr>
    </xdr:pic>
    <xdr:clientData/>
  </xdr:twoCellAnchor>
  <xdr:twoCellAnchor>
    <xdr:from>
      <xdr:col>19</xdr:col>
      <xdr:colOff>158476</xdr:colOff>
      <xdr:row>14</xdr:row>
      <xdr:rowOff>209550</xdr:rowOff>
    </xdr:from>
    <xdr:to>
      <xdr:col>20</xdr:col>
      <xdr:colOff>298296</xdr:colOff>
      <xdr:row>15</xdr:row>
      <xdr:rowOff>260351</xdr:rowOff>
    </xdr:to>
    <xdr:sp macro="" textlink="$AA$24">
      <xdr:nvSpPr>
        <xdr:cNvPr id="79" name="TextBox 78">
          <a:extLst>
            <a:ext uri="{FF2B5EF4-FFF2-40B4-BE49-F238E27FC236}">
              <a16:creationId xmlns:a16="http://schemas.microsoft.com/office/drawing/2014/main" id="{00000000-0008-0000-0000-00004F000000}"/>
            </a:ext>
            <a:ext uri="{C183D7F6-B498-43B3-948B-1728B52AA6E4}">
              <adec:decorative xmlns:adec="http://schemas.microsoft.com/office/drawing/2017/decorative" val="0"/>
            </a:ext>
          </a:extLst>
        </xdr:cNvPr>
        <xdr:cNvSpPr txBox="1"/>
      </xdr:nvSpPr>
      <xdr:spPr>
        <a:xfrm>
          <a:off x="10911570279" y="3057525"/>
          <a:ext cx="968495" cy="374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rtl="1"/>
          <a:fld id="{C437FC5F-706A-42A0-BB11-CD4E18BFA05F}" type="TxLink">
            <a:rPr lang="en-US" sz="1400" b="1" i="0" u="none" strike="noStrike">
              <a:ln>
                <a:noFill/>
              </a:ln>
              <a:solidFill>
                <a:schemeClr val="accent2"/>
              </a:solidFill>
              <a:latin typeface="Calibri"/>
              <a:ea typeface="Calibri"/>
              <a:cs typeface="B Nazanin" panose="00000400000000000000" pitchFamily="2" charset="-78"/>
            </a:rPr>
            <a:pPr marL="0" indent="0" algn="r" rtl="1"/>
            <a:t> 122,657 </a:t>
          </a:fld>
          <a:endParaRPr lang="en-US" sz="1500" b="1" i="0" u="none" strike="noStrike">
            <a:ln>
              <a:noFill/>
            </a:ln>
            <a:solidFill>
              <a:schemeClr val="accent2"/>
            </a:solidFill>
            <a:latin typeface="Calibri"/>
            <a:ea typeface="+mn-ea"/>
            <a:cs typeface="B Nazanin" panose="00000400000000000000" pitchFamily="2" charset="-78"/>
          </a:endParaRPr>
        </a:p>
      </xdr:txBody>
    </xdr:sp>
    <xdr:clientData/>
  </xdr:twoCellAnchor>
  <xdr:twoCellAnchor>
    <xdr:from>
      <xdr:col>23</xdr:col>
      <xdr:colOff>280246</xdr:colOff>
      <xdr:row>1</xdr:row>
      <xdr:rowOff>149500</xdr:rowOff>
    </xdr:from>
    <xdr:to>
      <xdr:col>27</xdr:col>
      <xdr:colOff>413172</xdr:colOff>
      <xdr:row>13</xdr:row>
      <xdr:rowOff>270929</xdr:rowOff>
    </xdr:to>
    <xdr:grpSp>
      <xdr:nvGrpSpPr>
        <xdr:cNvPr id="28" name="Group 27">
          <a:extLst>
            <a:ext uri="{FF2B5EF4-FFF2-40B4-BE49-F238E27FC236}">
              <a16:creationId xmlns:a16="http://schemas.microsoft.com/office/drawing/2014/main" id="{00000000-0008-0000-0000-00001C000000}"/>
            </a:ext>
          </a:extLst>
        </xdr:cNvPr>
        <xdr:cNvGrpSpPr/>
      </xdr:nvGrpSpPr>
      <xdr:grpSpPr>
        <a:xfrm>
          <a:off x="10905921378" y="378100"/>
          <a:ext cx="2857076" cy="2416954"/>
          <a:chOff x="9970863135" y="381001"/>
          <a:chExt cx="2725419" cy="2607728"/>
        </a:xfrm>
      </xdr:grpSpPr>
      <xdr:sp macro="" textlink="">
        <xdr:nvSpPr>
          <xdr:cNvPr id="19" name="Rectangle: Rounded Corners 18">
            <a:extLst>
              <a:ext uri="{FF2B5EF4-FFF2-40B4-BE49-F238E27FC236}">
                <a16:creationId xmlns:a16="http://schemas.microsoft.com/office/drawing/2014/main" id="{00000000-0008-0000-0000-000013000000}"/>
              </a:ext>
            </a:extLst>
          </xdr:cNvPr>
          <xdr:cNvSpPr/>
        </xdr:nvSpPr>
        <xdr:spPr>
          <a:xfrm>
            <a:off x="9970863135" y="567267"/>
            <a:ext cx="2725419" cy="2421462"/>
          </a:xfrm>
          <a:prstGeom prst="roundRect">
            <a:avLst>
              <a:gd name="adj" fmla="val 2333"/>
            </a:avLst>
          </a:prstGeom>
          <a:noFill/>
          <a:ln w="76200">
            <a:solidFill>
              <a:srgbClr val="292A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sp macro="" textlink="">
        <xdr:nvSpPr>
          <xdr:cNvPr id="80" name="Rectangle: Rounded Corners 79">
            <a:extLst>
              <a:ext uri="{FF2B5EF4-FFF2-40B4-BE49-F238E27FC236}">
                <a16:creationId xmlns:a16="http://schemas.microsoft.com/office/drawing/2014/main" id="{00000000-0008-0000-0000-000050000000}"/>
              </a:ext>
            </a:extLst>
          </xdr:cNvPr>
          <xdr:cNvSpPr/>
        </xdr:nvSpPr>
        <xdr:spPr>
          <a:xfrm>
            <a:off x="9970981667" y="381001"/>
            <a:ext cx="2463802" cy="304800"/>
          </a:xfrm>
          <a:prstGeom prst="roundRect">
            <a:avLst>
              <a:gd name="adj" fmla="val 30488"/>
            </a:avLst>
          </a:prstGeom>
          <a:solidFill>
            <a:schemeClr val="accent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9971046599" y="397934"/>
            <a:ext cx="2043863" cy="29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400" b="0" i="0" u="none" strike="noStrike">
                <a:solidFill>
                  <a:srgbClr val="FFFFFF"/>
                </a:solidFill>
                <a:latin typeface="Calibri"/>
                <a:cs typeface="Koodak" panose="00000700000000000000" pitchFamily="2" charset="-78"/>
              </a:rPr>
              <a:t>محاسبه قیمت تعادلی</a:t>
            </a:r>
            <a:r>
              <a:rPr lang="en-US" sz="1400" b="0" i="0" u="none" strike="noStrike">
                <a:solidFill>
                  <a:srgbClr val="FFFFFF"/>
                </a:solidFill>
                <a:latin typeface="Calibri"/>
                <a:cs typeface="Koodak" panose="00000700000000000000" pitchFamily="2" charset="-78"/>
              </a:rPr>
              <a:t> </a:t>
            </a:r>
            <a:r>
              <a:rPr lang="en-US" sz="1400" b="0" i="0" u="none" strike="noStrike" baseline="0">
                <a:solidFill>
                  <a:srgbClr val="FFFFFF"/>
                </a:solidFill>
                <a:latin typeface="Calibri"/>
                <a:cs typeface="Koodak" panose="00000700000000000000" pitchFamily="2" charset="-78"/>
              </a:rPr>
              <a:t> </a:t>
            </a:r>
            <a:r>
              <a:rPr lang="fa-IR" sz="1400" b="0" i="0" u="none" strike="noStrike" baseline="0">
                <a:solidFill>
                  <a:srgbClr val="FFFFFF"/>
                </a:solidFill>
                <a:latin typeface="Calibri"/>
                <a:cs typeface="Koodak" panose="00000700000000000000" pitchFamily="2" charset="-78"/>
              </a:rPr>
              <a:t>بورس</a:t>
            </a:r>
            <a:endParaRPr lang="en-US" sz="1400" b="0" i="0" u="none" strike="noStrike">
              <a:solidFill>
                <a:srgbClr val="FFFFFF"/>
              </a:solidFill>
              <a:latin typeface="Calibri"/>
              <a:cs typeface="Koodak" panose="00000700000000000000" pitchFamily="2" charset="-78"/>
            </a:endParaRPr>
          </a:p>
        </xdr:txBody>
      </xdr:sp>
    </xdr:grpSp>
    <xdr:clientData/>
  </xdr:twoCellAnchor>
  <xdr:twoCellAnchor>
    <xdr:from>
      <xdr:col>23</xdr:col>
      <xdr:colOff>272415</xdr:colOff>
      <xdr:row>18</xdr:row>
      <xdr:rowOff>8465</xdr:rowOff>
    </xdr:from>
    <xdr:to>
      <xdr:col>28</xdr:col>
      <xdr:colOff>15874</xdr:colOff>
      <xdr:row>30</xdr:row>
      <xdr:rowOff>25398</xdr:rowOff>
    </xdr:to>
    <xdr:sp macro="" textlink="">
      <xdr:nvSpPr>
        <xdr:cNvPr id="101" name="Rectangle: Rounded Corners 100">
          <a:extLst>
            <a:ext uri="{FF2B5EF4-FFF2-40B4-BE49-F238E27FC236}">
              <a16:creationId xmlns:a16="http://schemas.microsoft.com/office/drawing/2014/main" id="{00000000-0008-0000-0000-000065000000}"/>
            </a:ext>
          </a:extLst>
        </xdr:cNvPr>
        <xdr:cNvSpPr/>
      </xdr:nvSpPr>
      <xdr:spPr>
        <a:xfrm>
          <a:off x="10905909101" y="3913715"/>
          <a:ext cx="2877184" cy="2417233"/>
        </a:xfrm>
        <a:prstGeom prst="roundRect">
          <a:avLst>
            <a:gd name="adj" fmla="val 2333"/>
          </a:avLst>
        </a:prstGeom>
        <a:noFill/>
        <a:ln w="76200">
          <a:solidFill>
            <a:srgbClr val="292A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23</xdr:col>
      <xdr:colOff>290944</xdr:colOff>
      <xdr:row>17</xdr:row>
      <xdr:rowOff>42334</xdr:rowOff>
    </xdr:from>
    <xdr:to>
      <xdr:col>28</xdr:col>
      <xdr:colOff>77550</xdr:colOff>
      <xdr:row>18</xdr:row>
      <xdr:rowOff>161296</xdr:rowOff>
    </xdr:to>
    <xdr:grpSp>
      <xdr:nvGrpSpPr>
        <xdr:cNvPr id="22" name="Group 21">
          <a:extLst>
            <a:ext uri="{FF2B5EF4-FFF2-40B4-BE49-F238E27FC236}">
              <a16:creationId xmlns:a16="http://schemas.microsoft.com/office/drawing/2014/main" id="{00000000-0008-0000-0000-000016000000}"/>
            </a:ext>
          </a:extLst>
        </xdr:cNvPr>
        <xdr:cNvGrpSpPr/>
      </xdr:nvGrpSpPr>
      <xdr:grpSpPr>
        <a:xfrm>
          <a:off x="10905847425" y="3747559"/>
          <a:ext cx="2920331" cy="318987"/>
          <a:chOff x="9965348429" y="2675467"/>
          <a:chExt cx="2544972" cy="313695"/>
        </a:xfrm>
      </xdr:grpSpPr>
      <xdr:sp macro="" textlink="">
        <xdr:nvSpPr>
          <xdr:cNvPr id="89" name="Rectangle: Rounded Corners 88">
            <a:extLst>
              <a:ext uri="{FF2B5EF4-FFF2-40B4-BE49-F238E27FC236}">
                <a16:creationId xmlns:a16="http://schemas.microsoft.com/office/drawing/2014/main" id="{00000000-0008-0000-0000-000059000000}"/>
              </a:ext>
            </a:extLst>
          </xdr:cNvPr>
          <xdr:cNvSpPr/>
        </xdr:nvSpPr>
        <xdr:spPr>
          <a:xfrm>
            <a:off x="9965414620" y="2675467"/>
            <a:ext cx="2405850" cy="304800"/>
          </a:xfrm>
          <a:prstGeom prst="roundRect">
            <a:avLst>
              <a:gd name="adj" fmla="val 30488"/>
            </a:avLst>
          </a:prstGeom>
          <a:solidFill>
            <a:schemeClr val="accent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solidFill>
                <a:srgbClr val="FFFFFF"/>
              </a:solidFill>
            </a:endParaRPr>
          </a:p>
        </xdr:txBody>
      </xdr:sp>
      <xdr:sp macro="" textlink="">
        <xdr:nvSpPr>
          <xdr:cNvPr id="100" name="TextBox 99">
            <a:extLst>
              <a:ext uri="{FF2B5EF4-FFF2-40B4-BE49-F238E27FC236}">
                <a16:creationId xmlns:a16="http://schemas.microsoft.com/office/drawing/2014/main" id="{00000000-0008-0000-0000-000064000000}"/>
              </a:ext>
            </a:extLst>
          </xdr:cNvPr>
          <xdr:cNvSpPr txBox="1"/>
        </xdr:nvSpPr>
        <xdr:spPr>
          <a:xfrm>
            <a:off x="9965348429" y="2692400"/>
            <a:ext cx="2544972" cy="29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fa-IR" sz="1100" b="1" i="0" u="none" strike="noStrike">
                <a:solidFill>
                  <a:srgbClr val="FFFFFF"/>
                </a:solidFill>
                <a:latin typeface="Calibri"/>
                <a:cs typeface="B Koodak" panose="00000700000000000000" pitchFamily="2" charset="-78"/>
              </a:rPr>
              <a:t>محاسبه نرخ</a:t>
            </a:r>
            <a:r>
              <a:rPr lang="fa-IR" sz="1100" b="1" i="0" u="none" strike="noStrike" baseline="0">
                <a:solidFill>
                  <a:srgbClr val="FFFFFF"/>
                </a:solidFill>
                <a:latin typeface="Calibri"/>
                <a:cs typeface="B Koodak" panose="00000700000000000000" pitchFamily="2" charset="-78"/>
              </a:rPr>
              <a:t> فروش آتی بر اساس میانگین حمل نشده</a:t>
            </a:r>
            <a:endParaRPr lang="en-US" sz="1100" b="1" i="0" u="none" strike="noStrike">
              <a:solidFill>
                <a:srgbClr val="FFFFFF"/>
              </a:solidFill>
              <a:latin typeface="Calibri"/>
              <a:cs typeface="B Koodak" panose="00000700000000000000" pitchFamily="2" charset="-78"/>
            </a:endParaRPr>
          </a:p>
        </xdr:txBody>
      </xdr:sp>
    </xdr:grpSp>
    <xdr:clientData/>
  </xdr:twoCellAnchor>
  <xdr:twoCellAnchor>
    <xdr:from>
      <xdr:col>1</xdr:col>
      <xdr:colOff>1</xdr:colOff>
      <xdr:row>2</xdr:row>
      <xdr:rowOff>2</xdr:rowOff>
    </xdr:from>
    <xdr:to>
      <xdr:col>4</xdr:col>
      <xdr:colOff>160869</xdr:colOff>
      <xdr:row>13</xdr:row>
      <xdr:rowOff>220133</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0924652181" y="400052"/>
          <a:ext cx="2475443" cy="2344206"/>
          <a:chOff x="9986551868" y="381359"/>
          <a:chExt cx="2235202" cy="2613995"/>
        </a:xfrm>
      </xdr:grpSpPr>
      <xdr:sp macro="" textlink="">
        <xdr:nvSpPr>
          <xdr:cNvPr id="2" name="Rectangle: Rounded Corners 1">
            <a:extLst>
              <a:ext uri="{FF2B5EF4-FFF2-40B4-BE49-F238E27FC236}">
                <a16:creationId xmlns:a16="http://schemas.microsoft.com/office/drawing/2014/main" id="{00000000-0008-0000-0000-000002000000}"/>
              </a:ext>
            </a:extLst>
          </xdr:cNvPr>
          <xdr:cNvSpPr/>
        </xdr:nvSpPr>
        <xdr:spPr>
          <a:xfrm>
            <a:off x="9986653467" y="381359"/>
            <a:ext cx="2133603" cy="2613995"/>
          </a:xfrm>
          <a:prstGeom prst="roundRect">
            <a:avLst>
              <a:gd name="adj" fmla="val 2917"/>
            </a:avLst>
          </a:prstGeom>
          <a:solidFill>
            <a:srgbClr val="2A2E32"/>
          </a:solidFill>
          <a:ln w="28575">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9987054289" y="1124654"/>
            <a:ext cx="1125720" cy="302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050" b="1" i="0" u="none" strike="noStrike">
                <a:solidFill>
                  <a:srgbClr val="FFFFFF"/>
                </a:solidFill>
                <a:latin typeface="SamanBank" panose="00000500000000000000" pitchFamily="2" charset="-78"/>
                <a:cs typeface="B Nazanin" panose="00000400000000000000" pitchFamily="2" charset="-78"/>
              </a:rPr>
              <a:t>تعداد مشتریان </a:t>
            </a:r>
          </a:p>
        </xdr:txBody>
      </xdr:sp>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9986551868" y="1287965"/>
            <a:ext cx="1247140" cy="179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endParaRPr lang="fa-IR" sz="1050" b="1" i="0" u="none" strike="noStrike">
              <a:solidFill>
                <a:srgbClr val="FFFFFF"/>
              </a:solidFill>
              <a:latin typeface="SamanBank" panose="00000500000000000000" pitchFamily="2" charset="-78"/>
              <a:cs typeface="B Nazanin" panose="00000400000000000000" pitchFamily="2" charset="-78"/>
            </a:endParaRPr>
          </a:p>
        </xdr:txBody>
      </xdr:sp>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9986949799" y="493608"/>
            <a:ext cx="1081950" cy="30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600" b="1" i="0" u="none" strike="noStrike">
                <a:solidFill>
                  <a:srgbClr val="FFFFFF"/>
                </a:solidFill>
                <a:latin typeface="SamanBank" panose="00000500000000000000" pitchFamily="2" charset="-78"/>
                <a:cs typeface="B Titr" panose="00000700000000000000" pitchFamily="2" charset="-78"/>
              </a:rPr>
              <a:t>در</a:t>
            </a:r>
            <a:r>
              <a:rPr lang="fa-IR" sz="1600" b="1" i="0" u="none" strike="noStrike" baseline="0">
                <a:solidFill>
                  <a:srgbClr val="FFFFFF"/>
                </a:solidFill>
                <a:latin typeface="SamanBank" panose="00000500000000000000" pitchFamily="2" charset="-78"/>
                <a:cs typeface="B Titr" panose="00000700000000000000" pitchFamily="2" charset="-78"/>
              </a:rPr>
              <a:t> یک نگاه</a:t>
            </a:r>
            <a:endParaRPr lang="fa-IR" sz="1600" b="1" i="0" u="none" strike="noStrike">
              <a:solidFill>
                <a:srgbClr val="FFFFFF"/>
              </a:solidFill>
              <a:latin typeface="SamanBank" panose="00000500000000000000" pitchFamily="2" charset="-78"/>
              <a:cs typeface="B Titr" panose="00000700000000000000" pitchFamily="2" charset="-78"/>
            </a:endParaRPr>
          </a:p>
        </xdr:txBody>
      </xdr:sp>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9986626425" y="2567280"/>
            <a:ext cx="1621763" cy="302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050" b="1" i="0" u="none" strike="noStrike">
                <a:solidFill>
                  <a:srgbClr val="FFFFFF"/>
                </a:solidFill>
                <a:latin typeface="SamanBank" panose="00000500000000000000" pitchFamily="2" charset="-78"/>
                <a:cs typeface="B Nazanin" panose="00000400000000000000" pitchFamily="2" charset="-78"/>
              </a:rPr>
              <a:t>تعداد پیش فاکتور</a:t>
            </a:r>
          </a:p>
        </xdr:txBody>
      </xdr:sp>
      <xdr:sp macro="" textlink="">
        <xdr:nvSpPr>
          <xdr:cNvPr id="65" name="TextBox 64">
            <a:extLst>
              <a:ext uri="{FF2B5EF4-FFF2-40B4-BE49-F238E27FC236}">
                <a16:creationId xmlns:a16="http://schemas.microsoft.com/office/drawing/2014/main" id="{00000000-0008-0000-0000-000041000000}"/>
              </a:ext>
            </a:extLst>
          </xdr:cNvPr>
          <xdr:cNvSpPr txBox="1"/>
        </xdr:nvSpPr>
        <xdr:spPr>
          <a:xfrm>
            <a:off x="9987001791" y="1888284"/>
            <a:ext cx="1125720" cy="288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050" b="1" i="0" u="none" strike="noStrike">
                <a:solidFill>
                  <a:srgbClr val="FFFFFF"/>
                </a:solidFill>
                <a:latin typeface="SamanBank" panose="00000500000000000000" pitchFamily="2" charset="-78"/>
                <a:cs typeface="B Nazanin" panose="00000400000000000000" pitchFamily="2" charset="-78"/>
              </a:rPr>
              <a:t>تعداد بارگیری</a:t>
            </a:r>
          </a:p>
        </xdr:txBody>
      </xdr:sp>
      <xdr:sp macro="" textlink="calc!$K$13">
        <xdr:nvSpPr>
          <xdr:cNvPr id="70" name="TextBox 69">
            <a:extLst>
              <a:ext uri="{FF2B5EF4-FFF2-40B4-BE49-F238E27FC236}">
                <a16:creationId xmlns:a16="http://schemas.microsoft.com/office/drawing/2014/main" id="{00000000-0008-0000-0000-000046000000}"/>
              </a:ext>
            </a:extLst>
          </xdr:cNvPr>
          <xdr:cNvSpPr txBox="1"/>
        </xdr:nvSpPr>
        <xdr:spPr>
          <a:xfrm>
            <a:off x="9987440867" y="869855"/>
            <a:ext cx="636694"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1"/>
            <a:fld id="{523CA9A8-434B-401A-9677-97615206BAA9}" type="TxLink">
              <a:rPr lang="en-US" sz="2600" b="1" i="0" u="none" strike="noStrike" cap="none" spc="0">
                <a:ln>
                  <a:noFill/>
                </a:ln>
                <a:solidFill>
                  <a:schemeClr val="accent2"/>
                </a:solidFill>
                <a:effectLst/>
                <a:latin typeface="Calibri"/>
                <a:ea typeface="+mn-ea"/>
                <a:cs typeface="Koodak" panose="00000700000000000000" pitchFamily="2" charset="-78"/>
              </a:rPr>
              <a:pPr marL="0" indent="0" algn="ctr" rtl="1"/>
              <a:t>25</a:t>
            </a:fld>
            <a:endParaRPr lang="en-US" sz="2600" b="1" i="0" u="none" strike="noStrike" cap="none" spc="0">
              <a:ln>
                <a:noFill/>
              </a:ln>
              <a:solidFill>
                <a:schemeClr val="accent2"/>
              </a:solidFill>
              <a:effectLst/>
              <a:latin typeface="Calibri"/>
              <a:ea typeface="+mn-ea"/>
              <a:cs typeface="Koodak" panose="00000700000000000000" pitchFamily="2" charset="-78"/>
            </a:endParaRPr>
          </a:p>
        </xdr:txBody>
      </xdr:sp>
      <xdr:sp macro="" textlink="calc!$L$13">
        <xdr:nvSpPr>
          <xdr:cNvPr id="71" name="TextBox 70">
            <a:extLst>
              <a:ext uri="{FF2B5EF4-FFF2-40B4-BE49-F238E27FC236}">
                <a16:creationId xmlns:a16="http://schemas.microsoft.com/office/drawing/2014/main" id="{00000000-0008-0000-0000-000047000000}"/>
              </a:ext>
            </a:extLst>
          </xdr:cNvPr>
          <xdr:cNvSpPr txBox="1"/>
        </xdr:nvSpPr>
        <xdr:spPr>
          <a:xfrm>
            <a:off x="9986912342" y="2281354"/>
            <a:ext cx="1709628" cy="347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1"/>
            <a:fld id="{DA9BECA6-B410-42FB-938F-2DA23CB1665E}" type="TxLink">
              <a:rPr lang="en-US" sz="2600" b="1" i="0" u="none" strike="noStrike" cap="none" spc="0">
                <a:ln>
                  <a:noFill/>
                </a:ln>
                <a:solidFill>
                  <a:schemeClr val="accent2"/>
                </a:solidFill>
                <a:effectLst/>
                <a:latin typeface="Calibri"/>
                <a:ea typeface="+mn-ea"/>
                <a:cs typeface="Koodak" panose="00000700000000000000" pitchFamily="2" charset="-78"/>
              </a:rPr>
              <a:pPr marL="0" indent="0" algn="ctr" rtl="1"/>
              <a:t>73</a:t>
            </a:fld>
            <a:endParaRPr lang="en-US" sz="2600" b="1" i="0" u="none" strike="noStrike" cap="none" spc="0">
              <a:ln>
                <a:noFill/>
              </a:ln>
              <a:solidFill>
                <a:schemeClr val="accent2"/>
              </a:solidFill>
              <a:effectLst/>
              <a:latin typeface="Calibri"/>
              <a:ea typeface="+mn-ea"/>
              <a:cs typeface="Koodak" panose="00000700000000000000" pitchFamily="2" charset="-78"/>
            </a:endParaRPr>
          </a:p>
        </xdr:txBody>
      </xdr:sp>
      <xdr:sp macro="" textlink="calc!$M$13">
        <xdr:nvSpPr>
          <xdr:cNvPr id="72" name="TextBox 71">
            <a:extLst>
              <a:ext uri="{FF2B5EF4-FFF2-40B4-BE49-F238E27FC236}">
                <a16:creationId xmlns:a16="http://schemas.microsoft.com/office/drawing/2014/main" id="{00000000-0008-0000-0000-000048000000}"/>
              </a:ext>
            </a:extLst>
          </xdr:cNvPr>
          <xdr:cNvSpPr txBox="1"/>
        </xdr:nvSpPr>
        <xdr:spPr>
          <a:xfrm>
            <a:off x="9987175865" y="1346279"/>
            <a:ext cx="1159087" cy="751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1"/>
            <a:fld id="{D8F1CA8B-3924-44F2-961C-7BB25E377231}" type="TxLink">
              <a:rPr lang="en-US" sz="2600" b="1" i="0" u="none" strike="noStrike" cap="none" spc="0">
                <a:ln>
                  <a:noFill/>
                </a:ln>
                <a:solidFill>
                  <a:schemeClr val="accent2"/>
                </a:solidFill>
                <a:effectLst/>
                <a:latin typeface="Calibri"/>
                <a:ea typeface="+mn-ea"/>
                <a:cs typeface="Koodak" panose="00000700000000000000" pitchFamily="2" charset="-78"/>
              </a:rPr>
              <a:pPr marL="0" indent="0" algn="ctr" rtl="1"/>
              <a:t> 579 </a:t>
            </a:fld>
            <a:endParaRPr lang="en-US" sz="2600" b="1" i="0" u="none" strike="noStrike" cap="none" spc="0">
              <a:ln>
                <a:noFill/>
              </a:ln>
              <a:solidFill>
                <a:schemeClr val="accent2"/>
              </a:solidFill>
              <a:effectLst/>
              <a:latin typeface="Calibri"/>
              <a:ea typeface="+mn-ea"/>
              <a:cs typeface="Koodak" panose="00000700000000000000" pitchFamily="2" charset="-78"/>
            </a:endParaRPr>
          </a:p>
        </xdr:txBody>
      </xdr:sp>
      <xdr:sp macro="" textlink="calc!$N$13">
        <xdr:nvSpPr>
          <xdr:cNvPr id="75" name="TextBox 74">
            <a:extLst>
              <a:ext uri="{FF2B5EF4-FFF2-40B4-BE49-F238E27FC236}">
                <a16:creationId xmlns:a16="http://schemas.microsoft.com/office/drawing/2014/main" id="{00000000-0008-0000-0000-00004B000000}"/>
              </a:ext>
            </a:extLst>
          </xdr:cNvPr>
          <xdr:cNvSpPr txBox="1"/>
        </xdr:nvSpPr>
        <xdr:spPr>
          <a:xfrm>
            <a:off x="9986558641" y="921483"/>
            <a:ext cx="1414780"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1"/>
            <a:fld id="{E331C890-CE64-40E5-A889-015ECBBCEF42}" type="TxLink">
              <a:rPr lang="en-US" sz="2600" b="1" i="0" u="none" strike="noStrike" cap="none" spc="0">
                <a:ln>
                  <a:noFill/>
                </a:ln>
                <a:solidFill>
                  <a:schemeClr val="accent2"/>
                </a:solidFill>
                <a:effectLst/>
                <a:latin typeface="Calibri"/>
                <a:ea typeface="+mn-ea"/>
                <a:cs typeface="Koodak" panose="00000700000000000000" pitchFamily="2" charset="-78"/>
              </a:rPr>
              <a:pPr marL="0" indent="0" algn="ctr" rtl="1"/>
              <a:t> </a:t>
            </a:fld>
            <a:endParaRPr lang="en-US" sz="2600" b="1" i="0" u="none" strike="noStrike" cap="none" spc="0">
              <a:ln>
                <a:noFill/>
              </a:ln>
              <a:solidFill>
                <a:schemeClr val="accent2"/>
              </a:solidFill>
              <a:effectLst/>
              <a:latin typeface="Calibri"/>
              <a:ea typeface="+mn-ea"/>
              <a:cs typeface="Koodak" panose="00000700000000000000" pitchFamily="2" charset="-78"/>
            </a:endParaRPr>
          </a:p>
        </xdr:txBody>
      </xdr:sp>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88084335" y="438886"/>
            <a:ext cx="425305" cy="42530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17</xdr:col>
          <xdr:colOff>678180</xdr:colOff>
          <xdr:row>0</xdr:row>
          <xdr:rowOff>68580</xdr:rowOff>
        </xdr:from>
        <xdr:to>
          <xdr:col>19</xdr:col>
          <xdr:colOff>274320</xdr:colOff>
          <xdr:row>1</xdr:row>
          <xdr:rowOff>91440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67733</xdr:colOff>
      <xdr:row>1</xdr:row>
      <xdr:rowOff>134186</xdr:rowOff>
    </xdr:from>
    <xdr:to>
      <xdr:col>23</xdr:col>
      <xdr:colOff>110067</xdr:colOff>
      <xdr:row>13</xdr:row>
      <xdr:rowOff>254000</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10908948633" y="362786"/>
          <a:ext cx="10805584" cy="2415339"/>
          <a:chOff x="9975502867" y="361939"/>
          <a:chExt cx="8983133" cy="2372795"/>
        </a:xfrm>
        <a:solidFill>
          <a:schemeClr val="tx2"/>
        </a:solidFill>
      </xdr:grpSpPr>
      <xdr:sp macro="" textlink="">
        <xdr:nvSpPr>
          <xdr:cNvPr id="107" name="Rectangle: Rounded Corners 106">
            <a:extLst>
              <a:ext uri="{FF2B5EF4-FFF2-40B4-BE49-F238E27FC236}">
                <a16:creationId xmlns:a16="http://schemas.microsoft.com/office/drawing/2014/main" id="{00000000-0008-0000-0000-00006B000000}"/>
              </a:ext>
            </a:extLst>
          </xdr:cNvPr>
          <xdr:cNvSpPr/>
        </xdr:nvSpPr>
        <xdr:spPr>
          <a:xfrm>
            <a:off x="9975502867" y="364910"/>
            <a:ext cx="8983133" cy="2352890"/>
          </a:xfrm>
          <a:prstGeom prst="roundRect">
            <a:avLst>
              <a:gd name="adj" fmla="val 3529"/>
            </a:avLst>
          </a:prstGeom>
          <a:solidFill>
            <a:srgbClr val="2A2E32"/>
          </a:solidFill>
          <a:ln w="381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graphicFrame macro="">
        <xdr:nvGraphicFramePr>
          <xdr:cNvPr id="115" name="Chart 114">
            <a:extLst>
              <a:ext uri="{FF2B5EF4-FFF2-40B4-BE49-F238E27FC236}">
                <a16:creationId xmlns:a16="http://schemas.microsoft.com/office/drawing/2014/main" id="{00000000-0008-0000-0000-000073000000}"/>
              </a:ext>
            </a:extLst>
          </xdr:cNvPr>
          <xdr:cNvGraphicFramePr>
            <a:graphicFrameLocks/>
          </xdr:cNvGraphicFramePr>
        </xdr:nvGraphicFramePr>
        <xdr:xfrm>
          <a:off x="9975621402" y="558802"/>
          <a:ext cx="8754534" cy="2175932"/>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9" name="Group 8">
            <a:extLst>
              <a:ext uri="{FF2B5EF4-FFF2-40B4-BE49-F238E27FC236}">
                <a16:creationId xmlns:a16="http://schemas.microsoft.com/office/drawing/2014/main" id="{00000000-0008-0000-0000-000009000000}"/>
              </a:ext>
            </a:extLst>
          </xdr:cNvPr>
          <xdr:cNvGrpSpPr/>
        </xdr:nvGrpSpPr>
        <xdr:grpSpPr>
          <a:xfrm>
            <a:off x="9980371207" y="361939"/>
            <a:ext cx="3969805" cy="307354"/>
            <a:chOff x="9980125670" y="395807"/>
            <a:chExt cx="3969805" cy="307354"/>
          </a:xfrm>
          <a:grpFill/>
        </xdr:grpSpPr>
        <xdr:sp macro="" textlink="">
          <xdr:nvSpPr>
            <xdr:cNvPr id="108" name="TextBox 107">
              <a:extLst>
                <a:ext uri="{FF2B5EF4-FFF2-40B4-BE49-F238E27FC236}">
                  <a16:creationId xmlns:a16="http://schemas.microsoft.com/office/drawing/2014/main" id="{00000000-0008-0000-0000-00006C000000}"/>
                </a:ext>
              </a:extLst>
            </xdr:cNvPr>
            <xdr:cNvSpPr txBox="1"/>
          </xdr:nvSpPr>
          <xdr:spPr>
            <a:xfrm>
              <a:off x="9980506667" y="395807"/>
              <a:ext cx="3356821" cy="29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200" b="0" i="0" u="none" strike="noStrike">
                  <a:solidFill>
                    <a:srgbClr val="FFFFFF"/>
                  </a:solidFill>
                  <a:latin typeface="Calibri"/>
                  <a:cs typeface="B Titr" panose="00000700000000000000" pitchFamily="2" charset="-78"/>
                </a:rPr>
                <a:t>بررسی</a:t>
              </a:r>
              <a:r>
                <a:rPr lang="fa-IR" sz="1200" b="0" i="0" u="none" strike="noStrike" baseline="0">
                  <a:solidFill>
                    <a:srgbClr val="FFFFFF"/>
                  </a:solidFill>
                  <a:latin typeface="Calibri"/>
                  <a:cs typeface="B Titr" panose="00000700000000000000" pitchFamily="2" charset="-78"/>
                </a:rPr>
                <a:t> ماهانه میزان سفارش و میزان بارگیری شده</a:t>
              </a:r>
              <a:r>
                <a:rPr lang="en-US" sz="1200" b="0" i="0" u="none" strike="noStrike" baseline="0">
                  <a:solidFill>
                    <a:srgbClr val="FFFFFF"/>
                  </a:solidFill>
                  <a:latin typeface="Calibri"/>
                  <a:cs typeface="B Titr" panose="00000700000000000000" pitchFamily="2" charset="-78"/>
                </a:rPr>
                <a:t> </a:t>
              </a:r>
              <a:r>
                <a:rPr lang="fa-IR" sz="1200" b="0" i="0" u="none" strike="noStrike" baseline="0">
                  <a:solidFill>
                    <a:srgbClr val="FFFFFF"/>
                  </a:solidFill>
                  <a:latin typeface="Calibri"/>
                  <a:cs typeface="B Titr" panose="00000700000000000000" pitchFamily="2" charset="-78"/>
                </a:rPr>
                <a:t>سال </a:t>
              </a:r>
              <a:endParaRPr lang="en-US" sz="1200" b="0" i="0" u="none" strike="noStrike">
                <a:solidFill>
                  <a:srgbClr val="FFFFFF"/>
                </a:solidFill>
                <a:latin typeface="Calibri"/>
                <a:cs typeface="B Titr" panose="00000700000000000000" pitchFamily="2" charset="-78"/>
              </a:endParaRPr>
            </a:p>
          </xdr:txBody>
        </xdr:sp>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6173" t="10934" r="10934" b="10706"/>
            <a:stretch/>
          </xdr:blipFill>
          <xdr:spPr>
            <a:xfrm>
              <a:off x="9983856468" y="437726"/>
              <a:ext cx="239007" cy="263947"/>
            </a:xfrm>
            <a:prstGeom prst="rect">
              <a:avLst/>
            </a:prstGeom>
            <a:grpFill/>
          </xdr:spPr>
        </xdr:pic>
        <xdr:sp macro="" textlink="calc!BV5">
          <xdr:nvSpPr>
            <xdr:cNvPr id="116" name="TextBox 115">
              <a:extLst>
                <a:ext uri="{FF2B5EF4-FFF2-40B4-BE49-F238E27FC236}">
                  <a16:creationId xmlns:a16="http://schemas.microsoft.com/office/drawing/2014/main" id="{00000000-0008-0000-0000-000074000000}"/>
                </a:ext>
              </a:extLst>
            </xdr:cNvPr>
            <xdr:cNvSpPr txBox="1"/>
          </xdr:nvSpPr>
          <xdr:spPr>
            <a:xfrm>
              <a:off x="9980125670" y="406399"/>
              <a:ext cx="770466" cy="29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fld id="{21019D9E-FF21-47B3-8A40-3118DDD7A0E3}" type="TxLink">
                <a:rPr lang="en-US" sz="1700" b="1" i="0" u="none" strike="noStrike">
                  <a:solidFill>
                    <a:schemeClr val="accent2"/>
                  </a:solidFill>
                  <a:latin typeface="Calibri"/>
                  <a:cs typeface="B Nazanin" panose="00000400000000000000" pitchFamily="2" charset="-78"/>
                </a:rPr>
                <a:pPr algn="r" rtl="1"/>
                <a:t>1404</a:t>
              </a:fld>
              <a:endParaRPr lang="en-US" sz="1700" b="1" i="0" u="none" strike="noStrike">
                <a:solidFill>
                  <a:schemeClr val="accent2"/>
                </a:solidFill>
                <a:latin typeface="Calibri"/>
                <a:cs typeface="B Nazanin" panose="00000400000000000000" pitchFamily="2" charset="-78"/>
              </a:endParaRPr>
            </a:p>
          </xdr:txBody>
        </xdr:sp>
      </xdr:grpSp>
    </xdr:grpSp>
    <xdr:clientData/>
  </xdr:twoCellAnchor>
  <xdr:twoCellAnchor>
    <xdr:from>
      <xdr:col>0</xdr:col>
      <xdr:colOff>120642</xdr:colOff>
      <xdr:row>21</xdr:row>
      <xdr:rowOff>200024</xdr:rowOff>
    </xdr:from>
    <xdr:to>
      <xdr:col>10</xdr:col>
      <xdr:colOff>171450</xdr:colOff>
      <xdr:row>37</xdr:row>
      <xdr:rowOff>142875</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10920041025" y="4705349"/>
          <a:ext cx="7099308" cy="3429001"/>
          <a:chOff x="9984316670" y="2553711"/>
          <a:chExt cx="6383870" cy="4191184"/>
        </a:xfrm>
      </xdr:grpSpPr>
      <xdr:grpSp>
        <xdr:nvGrpSpPr>
          <xdr:cNvPr id="3" name="Group 2">
            <a:extLst>
              <a:ext uri="{FF2B5EF4-FFF2-40B4-BE49-F238E27FC236}">
                <a16:creationId xmlns:a16="http://schemas.microsoft.com/office/drawing/2014/main" id="{00000000-0008-0000-0000-000003000000}"/>
              </a:ext>
            </a:extLst>
          </xdr:cNvPr>
          <xdr:cNvGrpSpPr/>
        </xdr:nvGrpSpPr>
        <xdr:grpSpPr>
          <a:xfrm>
            <a:off x="9984316670" y="2553711"/>
            <a:ext cx="6383870" cy="4191184"/>
            <a:chOff x="9982276201" y="2579110"/>
            <a:chExt cx="6383870" cy="4191184"/>
          </a:xfrm>
        </xdr:grpSpPr>
        <xdr:sp macro="" textlink="">
          <xdr:nvSpPr>
            <xdr:cNvPr id="88" name="Rectangle: Rounded Corners 87">
              <a:extLst>
                <a:ext uri="{FF2B5EF4-FFF2-40B4-BE49-F238E27FC236}">
                  <a16:creationId xmlns:a16="http://schemas.microsoft.com/office/drawing/2014/main" id="{00000000-0008-0000-0000-000058000000}"/>
                </a:ext>
              </a:extLst>
            </xdr:cNvPr>
            <xdr:cNvSpPr/>
          </xdr:nvSpPr>
          <xdr:spPr>
            <a:xfrm>
              <a:off x="9982276201" y="2579110"/>
              <a:ext cx="6383870" cy="4191184"/>
            </a:xfrm>
            <a:prstGeom prst="roundRect">
              <a:avLst>
                <a:gd name="adj" fmla="val 2917"/>
              </a:avLst>
            </a:prstGeom>
            <a:solidFill>
              <a:srgbClr val="2A2E32"/>
            </a:solidFill>
            <a:ln w="381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solidFill>
                  <a:schemeClr val="accent2"/>
                </a:solidFill>
              </a:endParaRPr>
            </a:p>
          </xdr:txBody>
        </xdr:sp>
        <xdr:graphicFrame macro="">
          <xdr:nvGraphicFramePr>
            <xdr:cNvPr id="95" name="Chart 94">
              <a:extLst>
                <a:ext uri="{FF2B5EF4-FFF2-40B4-BE49-F238E27FC236}">
                  <a16:creationId xmlns:a16="http://schemas.microsoft.com/office/drawing/2014/main" id="{00000000-0008-0000-0000-00005F000000}"/>
                </a:ext>
              </a:extLst>
            </xdr:cNvPr>
            <xdr:cNvGraphicFramePr>
              <a:graphicFrameLocks/>
            </xdr:cNvGraphicFramePr>
          </xdr:nvGraphicFramePr>
          <xdr:xfrm>
            <a:off x="9982285692" y="3022550"/>
            <a:ext cx="6285382" cy="3595101"/>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96" name="TextBox 95">
              <a:extLst>
                <a:ext uri="{FF2B5EF4-FFF2-40B4-BE49-F238E27FC236}">
                  <a16:creationId xmlns:a16="http://schemas.microsoft.com/office/drawing/2014/main" id="{00000000-0008-0000-0000-000060000000}"/>
                </a:ext>
              </a:extLst>
            </xdr:cNvPr>
            <xdr:cNvSpPr txBox="1"/>
          </xdr:nvSpPr>
          <xdr:spPr>
            <a:xfrm>
              <a:off x="9983251342" y="3089811"/>
              <a:ext cx="1456269" cy="331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900" b="0" i="0" u="none" strike="noStrike" baseline="0">
                  <a:solidFill>
                    <a:srgbClr val="FFFFFF"/>
                  </a:solidFill>
                  <a:latin typeface="Calibri"/>
                  <a:cs typeface="B Titr" panose="00000700000000000000" pitchFamily="2" charset="-78"/>
                </a:rPr>
                <a:t>کل سفارشات(هزار تن)</a:t>
              </a:r>
              <a:endParaRPr lang="en-US" sz="900" b="0" i="0" u="none" strike="noStrike">
                <a:solidFill>
                  <a:srgbClr val="FFFFFF"/>
                </a:solidFill>
                <a:latin typeface="Calibri"/>
                <a:cs typeface="B Titr" panose="00000700000000000000" pitchFamily="2" charset="-78"/>
              </a:endParaRPr>
            </a:p>
          </xdr:txBody>
        </xdr:sp>
      </xdr:grpSp>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9986417838" y="3064412"/>
            <a:ext cx="1456269" cy="331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900" b="0" i="0" u="none" strike="noStrike" baseline="0">
                <a:solidFill>
                  <a:srgbClr val="FFFFFF"/>
                </a:solidFill>
                <a:latin typeface="Calibri"/>
                <a:cs typeface="B Titr" panose="00000700000000000000" pitchFamily="2" charset="-78"/>
              </a:rPr>
              <a:t>درصد مانده</a:t>
            </a:r>
            <a:endParaRPr lang="en-US" sz="900" b="0" i="0" u="none" strike="noStrike">
              <a:solidFill>
                <a:srgbClr val="FFFFFF"/>
              </a:solidFill>
              <a:latin typeface="Calibri"/>
              <a:cs typeface="B Titr" panose="00000700000000000000" pitchFamily="2" charset="-78"/>
            </a:endParaRPr>
          </a:p>
        </xdr:txBody>
      </xdr:sp>
      <xdr:sp macro="" textlink="">
        <xdr:nvSpPr>
          <xdr:cNvPr id="118" name="TextBox 117">
            <a:extLst>
              <a:ext uri="{FF2B5EF4-FFF2-40B4-BE49-F238E27FC236}">
                <a16:creationId xmlns:a16="http://schemas.microsoft.com/office/drawing/2014/main" id="{00000000-0008-0000-0000-000076000000}"/>
              </a:ext>
            </a:extLst>
          </xdr:cNvPr>
          <xdr:cNvSpPr txBox="1"/>
        </xdr:nvSpPr>
        <xdr:spPr>
          <a:xfrm>
            <a:off x="9988102697" y="3055948"/>
            <a:ext cx="1456269" cy="331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900" b="0" i="0" u="none" strike="noStrike" baseline="0">
                <a:solidFill>
                  <a:srgbClr val="FFFFFF"/>
                </a:solidFill>
                <a:latin typeface="Calibri"/>
                <a:cs typeface="B Titr" panose="00000700000000000000" pitchFamily="2" charset="-78"/>
              </a:rPr>
              <a:t>کل ارسال شده(هزار تن)</a:t>
            </a:r>
            <a:endParaRPr lang="en-US" sz="900" b="0" i="0" u="none" strike="noStrike">
              <a:solidFill>
                <a:srgbClr val="FFFFFF"/>
              </a:solidFill>
              <a:latin typeface="Calibri"/>
              <a:cs typeface="B Titr" panose="00000700000000000000" pitchFamily="2" charset="-78"/>
            </a:endParaRPr>
          </a:p>
        </xdr:txBody>
      </xdr:sp>
      <xdr:sp macro="" textlink="">
        <xdr:nvSpPr>
          <xdr:cNvPr id="13" name="Rectangle: Rounded Corners 12">
            <a:extLst>
              <a:ext uri="{FF2B5EF4-FFF2-40B4-BE49-F238E27FC236}">
                <a16:creationId xmlns:a16="http://schemas.microsoft.com/office/drawing/2014/main" id="{00000000-0008-0000-0000-00000D000000}"/>
              </a:ext>
            </a:extLst>
          </xdr:cNvPr>
          <xdr:cNvSpPr/>
        </xdr:nvSpPr>
        <xdr:spPr>
          <a:xfrm>
            <a:off x="9988077306" y="3191413"/>
            <a:ext cx="262467" cy="84666"/>
          </a:xfrm>
          <a:prstGeom prst="roundRect">
            <a:avLst/>
          </a:prstGeom>
          <a:solidFill>
            <a:srgbClr val="69FF6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sp macro="" textlink="">
        <xdr:nvSpPr>
          <xdr:cNvPr id="119" name="Rectangle: Rounded Corners 118">
            <a:extLst>
              <a:ext uri="{FF2B5EF4-FFF2-40B4-BE49-F238E27FC236}">
                <a16:creationId xmlns:a16="http://schemas.microsoft.com/office/drawing/2014/main" id="{00000000-0008-0000-0000-000077000000}"/>
              </a:ext>
            </a:extLst>
          </xdr:cNvPr>
          <xdr:cNvSpPr/>
        </xdr:nvSpPr>
        <xdr:spPr>
          <a:xfrm>
            <a:off x="9985403643" y="3203401"/>
            <a:ext cx="262467" cy="84666"/>
          </a:xfrm>
          <a:prstGeom prst="roundRect">
            <a:avLst/>
          </a:prstGeom>
          <a:solidFill>
            <a:schemeClr val="tx2">
              <a:lumMod val="10000"/>
              <a:lumOff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sp macro="" textlink="">
        <xdr:nvSpPr>
          <xdr:cNvPr id="120" name="Rectangle: Rounded Corners 119">
            <a:extLst>
              <a:ext uri="{FF2B5EF4-FFF2-40B4-BE49-F238E27FC236}">
                <a16:creationId xmlns:a16="http://schemas.microsoft.com/office/drawing/2014/main" id="{00000000-0008-0000-0000-000078000000}"/>
              </a:ext>
            </a:extLst>
          </xdr:cNvPr>
          <xdr:cNvSpPr/>
        </xdr:nvSpPr>
        <xdr:spPr>
          <a:xfrm>
            <a:off x="9986951238" y="3191413"/>
            <a:ext cx="262467" cy="84666"/>
          </a:xfrm>
          <a:prstGeom prst="roundRect">
            <a:avLst/>
          </a:prstGeom>
          <a:solidFill>
            <a:srgbClr val="D735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20</xdr:col>
          <xdr:colOff>502920</xdr:colOff>
          <xdr:row>0</xdr:row>
          <xdr:rowOff>68580</xdr:rowOff>
        </xdr:from>
        <xdr:to>
          <xdr:col>21</xdr:col>
          <xdr:colOff>434340</xdr:colOff>
          <xdr:row>1</xdr:row>
          <xdr:rowOff>91440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6D9F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0" tIns="27432" rIns="27432" bIns="27432" anchor="ctr" upright="1"/>
            <a:lstStyle/>
            <a:p>
              <a:pPr algn="r" rtl="1">
                <a:defRPr sz="1000"/>
              </a:pPr>
              <a:r>
                <a:rPr lang="fa-IR" sz="800" b="0" i="0" u="none" strike="noStrike" baseline="0">
                  <a:solidFill>
                    <a:srgbClr val="000000"/>
                  </a:solidFill>
                  <a:latin typeface="Segoe UI"/>
                  <a:cs typeface="Segoe UI"/>
                </a:rPr>
                <a:t>تعداد پیش فاکتور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487680</xdr:colOff>
          <xdr:row>0</xdr:row>
          <xdr:rowOff>60960</xdr:rowOff>
        </xdr:from>
        <xdr:to>
          <xdr:col>20</xdr:col>
          <xdr:colOff>518160</xdr:colOff>
          <xdr:row>1</xdr:row>
          <xdr:rowOff>83820</xdr:rowOff>
        </xdr:to>
        <xdr:sp macro="" textlink="">
          <xdr:nvSpPr>
            <xdr:cNvPr id="1029" name="Check Box 5" descr="تعداد بارگیری"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C6D9F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0" tIns="27432" rIns="27432" bIns="27432" anchor="ctr" upright="1"/>
            <a:lstStyle/>
            <a:p>
              <a:pPr algn="r" rtl="1">
                <a:defRPr sz="1000"/>
              </a:pPr>
              <a:r>
                <a:rPr lang="fa-IR" sz="800" b="0" i="0" u="none" strike="noStrike" baseline="0">
                  <a:solidFill>
                    <a:srgbClr val="000000"/>
                  </a:solidFill>
                  <a:latin typeface="Segoe UI"/>
                  <a:cs typeface="Segoe UI"/>
                </a:rPr>
                <a:t>تعداد بارگیری</a:t>
              </a:r>
            </a:p>
          </xdr:txBody>
        </xdr:sp>
        <xdr:clientData/>
      </xdr:twoCellAnchor>
    </mc:Choice>
    <mc:Fallback/>
  </mc:AlternateContent>
  <xdr:twoCellAnchor>
    <xdr:from>
      <xdr:col>28</xdr:col>
      <xdr:colOff>176446</xdr:colOff>
      <xdr:row>1</xdr:row>
      <xdr:rowOff>165166</xdr:rowOff>
    </xdr:from>
    <xdr:to>
      <xdr:col>33</xdr:col>
      <xdr:colOff>4575</xdr:colOff>
      <xdr:row>13</xdr:row>
      <xdr:rowOff>286595</xdr:rowOff>
    </xdr:to>
    <xdr:grpSp>
      <xdr:nvGrpSpPr>
        <xdr:cNvPr id="90" name="Group 89">
          <a:extLst>
            <a:ext uri="{FF2B5EF4-FFF2-40B4-BE49-F238E27FC236}">
              <a16:creationId xmlns:a16="http://schemas.microsoft.com/office/drawing/2014/main" id="{00000000-0008-0000-0000-00005A000000}"/>
            </a:ext>
          </a:extLst>
        </xdr:cNvPr>
        <xdr:cNvGrpSpPr/>
      </xdr:nvGrpSpPr>
      <xdr:grpSpPr>
        <a:xfrm>
          <a:off x="10902862875" y="393766"/>
          <a:ext cx="2885654" cy="2416954"/>
          <a:chOff x="9970519808" y="381001"/>
          <a:chExt cx="3068746" cy="2607728"/>
        </a:xfrm>
      </xdr:grpSpPr>
      <xdr:sp macro="" textlink="">
        <xdr:nvSpPr>
          <xdr:cNvPr id="91" name="Rectangle: Rounded Corners 90">
            <a:extLst>
              <a:ext uri="{FF2B5EF4-FFF2-40B4-BE49-F238E27FC236}">
                <a16:creationId xmlns:a16="http://schemas.microsoft.com/office/drawing/2014/main" id="{00000000-0008-0000-0000-00005B000000}"/>
              </a:ext>
            </a:extLst>
          </xdr:cNvPr>
          <xdr:cNvSpPr/>
        </xdr:nvSpPr>
        <xdr:spPr>
          <a:xfrm>
            <a:off x="9970519808" y="567267"/>
            <a:ext cx="3068746" cy="2421462"/>
          </a:xfrm>
          <a:prstGeom prst="roundRect">
            <a:avLst>
              <a:gd name="adj" fmla="val 2333"/>
            </a:avLst>
          </a:prstGeom>
          <a:noFill/>
          <a:ln w="76200">
            <a:solidFill>
              <a:srgbClr val="292A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sp macro="" textlink="">
        <xdr:nvSpPr>
          <xdr:cNvPr id="92" name="Rectangle: Rounded Corners 91">
            <a:extLst>
              <a:ext uri="{FF2B5EF4-FFF2-40B4-BE49-F238E27FC236}">
                <a16:creationId xmlns:a16="http://schemas.microsoft.com/office/drawing/2014/main" id="{00000000-0008-0000-0000-00005C000000}"/>
              </a:ext>
            </a:extLst>
          </xdr:cNvPr>
          <xdr:cNvSpPr/>
        </xdr:nvSpPr>
        <xdr:spPr>
          <a:xfrm>
            <a:off x="9970672317" y="381001"/>
            <a:ext cx="2773150" cy="304800"/>
          </a:xfrm>
          <a:prstGeom prst="roundRect">
            <a:avLst>
              <a:gd name="adj" fmla="val 22155"/>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sp macro="" textlink="">
        <xdr:nvSpPr>
          <xdr:cNvPr id="93" name="TextBox 92">
            <a:extLst>
              <a:ext uri="{FF2B5EF4-FFF2-40B4-BE49-F238E27FC236}">
                <a16:creationId xmlns:a16="http://schemas.microsoft.com/office/drawing/2014/main" id="{00000000-0008-0000-0000-00005D000000}"/>
              </a:ext>
            </a:extLst>
          </xdr:cNvPr>
          <xdr:cNvSpPr txBox="1"/>
        </xdr:nvSpPr>
        <xdr:spPr>
          <a:xfrm>
            <a:off x="9971040934" y="397934"/>
            <a:ext cx="1844188" cy="29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400" b="0" i="0" u="none" strike="noStrike">
                <a:solidFill>
                  <a:srgbClr val="FFFFFF"/>
                </a:solidFill>
                <a:latin typeface="Calibri"/>
                <a:cs typeface="Koodak" panose="00000700000000000000" pitchFamily="2" charset="-78"/>
              </a:rPr>
              <a:t>محاسبه تناژ تعادلی بورس</a:t>
            </a:r>
            <a:endParaRPr lang="en-US" sz="1400" b="0" i="0" u="none" strike="noStrike">
              <a:solidFill>
                <a:srgbClr val="FFFFFF"/>
              </a:solidFill>
              <a:latin typeface="Calibri"/>
              <a:cs typeface="Koodak" panose="00000700000000000000" pitchFamily="2" charset="-78"/>
            </a:endParaRPr>
          </a:p>
        </xdr:txBody>
      </xdr:sp>
    </xdr:grpSp>
    <xdr:clientData/>
  </xdr:twoCellAnchor>
  <xdr:twoCellAnchor>
    <xdr:from>
      <xdr:col>28</xdr:col>
      <xdr:colOff>186268</xdr:colOff>
      <xdr:row>17</xdr:row>
      <xdr:rowOff>161923</xdr:rowOff>
    </xdr:from>
    <xdr:to>
      <xdr:col>33</xdr:col>
      <xdr:colOff>14394</xdr:colOff>
      <xdr:row>30</xdr:row>
      <xdr:rowOff>19050</xdr:rowOff>
    </xdr:to>
    <xdr:sp macro="" textlink="">
      <xdr:nvSpPr>
        <xdr:cNvPr id="102" name="Rectangle: Rounded Corners 101">
          <a:extLst>
            <a:ext uri="{FF2B5EF4-FFF2-40B4-BE49-F238E27FC236}">
              <a16:creationId xmlns:a16="http://schemas.microsoft.com/office/drawing/2014/main" id="{00000000-0008-0000-0000-000066000000}"/>
            </a:ext>
          </a:extLst>
        </xdr:cNvPr>
        <xdr:cNvSpPr/>
      </xdr:nvSpPr>
      <xdr:spPr>
        <a:xfrm>
          <a:off x="9968269581" y="3981448"/>
          <a:ext cx="2599901" cy="2457452"/>
        </a:xfrm>
        <a:prstGeom prst="roundRect">
          <a:avLst>
            <a:gd name="adj" fmla="val 2333"/>
          </a:avLst>
        </a:prstGeom>
        <a:noFill/>
        <a:ln w="76200">
          <a:solidFill>
            <a:srgbClr val="292A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28</xdr:col>
      <xdr:colOff>140754</xdr:colOff>
      <xdr:row>17</xdr:row>
      <xdr:rowOff>50800</xdr:rowOff>
    </xdr:from>
    <xdr:to>
      <xdr:col>33</xdr:col>
      <xdr:colOff>76199</xdr:colOff>
      <xdr:row>18</xdr:row>
      <xdr:rowOff>169762</xdr:rowOff>
    </xdr:to>
    <xdr:grpSp>
      <xdr:nvGrpSpPr>
        <xdr:cNvPr id="103" name="Group 102">
          <a:extLst>
            <a:ext uri="{FF2B5EF4-FFF2-40B4-BE49-F238E27FC236}">
              <a16:creationId xmlns:a16="http://schemas.microsoft.com/office/drawing/2014/main" id="{00000000-0008-0000-0000-000067000000}"/>
            </a:ext>
          </a:extLst>
        </xdr:cNvPr>
        <xdr:cNvGrpSpPr/>
      </xdr:nvGrpSpPr>
      <xdr:grpSpPr>
        <a:xfrm>
          <a:off x="10902791251" y="3756025"/>
          <a:ext cx="2992970" cy="318987"/>
          <a:chOff x="9965368981" y="2675467"/>
          <a:chExt cx="2516710" cy="313695"/>
        </a:xfrm>
      </xdr:grpSpPr>
      <xdr:sp macro="" textlink="">
        <xdr:nvSpPr>
          <xdr:cNvPr id="104" name="Rectangle: Rounded Corners 103">
            <a:extLst>
              <a:ext uri="{FF2B5EF4-FFF2-40B4-BE49-F238E27FC236}">
                <a16:creationId xmlns:a16="http://schemas.microsoft.com/office/drawing/2014/main" id="{00000000-0008-0000-0000-000068000000}"/>
              </a:ext>
            </a:extLst>
          </xdr:cNvPr>
          <xdr:cNvSpPr/>
        </xdr:nvSpPr>
        <xdr:spPr>
          <a:xfrm>
            <a:off x="9965471194" y="2675467"/>
            <a:ext cx="2302934" cy="304800"/>
          </a:xfrm>
          <a:prstGeom prst="roundRect">
            <a:avLst>
              <a:gd name="adj" fmla="val 30488"/>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solidFill>
                <a:srgbClr val="FFFFFF"/>
              </a:solidFill>
            </a:endParaRPr>
          </a:p>
        </xdr:txBody>
      </xdr:sp>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9965368981" y="2692400"/>
            <a:ext cx="2516710" cy="29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fa-IR" sz="1100" b="1" i="0" u="none" strike="noStrike" baseline="0">
                <a:solidFill>
                  <a:srgbClr val="FFFFFF"/>
                </a:solidFill>
                <a:latin typeface="Calibri"/>
                <a:ea typeface="+mn-ea"/>
                <a:cs typeface="B Koodak" panose="00000700000000000000" pitchFamily="2" charset="-78"/>
              </a:rPr>
              <a:t>محاسبه</a:t>
            </a:r>
            <a:r>
              <a:rPr lang="fa-IR" sz="1050" b="1" i="0">
                <a:solidFill>
                  <a:schemeClr val="dk1"/>
                </a:solidFill>
                <a:effectLst/>
                <a:latin typeface="+mn-lt"/>
                <a:ea typeface="+mn-ea"/>
                <a:cs typeface="B Koodak" panose="00000700000000000000" pitchFamily="2" charset="-78"/>
              </a:rPr>
              <a:t> </a:t>
            </a:r>
            <a:r>
              <a:rPr lang="fa-IR" sz="1100" b="1" i="0" u="none" strike="noStrike" baseline="0">
                <a:solidFill>
                  <a:srgbClr val="FFFFFF"/>
                </a:solidFill>
                <a:latin typeface="Calibri"/>
                <a:ea typeface="+mn-ea"/>
                <a:cs typeface="B Koodak" panose="00000700000000000000" pitchFamily="2" charset="-78"/>
              </a:rPr>
              <a:t>تناژ فروش آتی بر اساس میانگین حمل نشده</a:t>
            </a:r>
          </a:p>
        </xdr:txBody>
      </xdr:sp>
    </xdr:grpSp>
    <xdr:clientData/>
  </xdr:twoCellAnchor>
  <xdr:twoCellAnchor>
    <xdr:from>
      <xdr:col>1</xdr:col>
      <xdr:colOff>79816</xdr:colOff>
      <xdr:row>21</xdr:row>
      <xdr:rowOff>155579</xdr:rowOff>
    </xdr:from>
    <xdr:to>
      <xdr:col>6</xdr:col>
      <xdr:colOff>26273</xdr:colOff>
      <xdr:row>24</xdr:row>
      <xdr:rowOff>19052</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0923224677" y="4660904"/>
          <a:ext cx="3823132" cy="463548"/>
          <a:chOff x="9985247129" y="2881347"/>
          <a:chExt cx="3434620" cy="509266"/>
        </a:xfrm>
      </xdr:grpSpPr>
      <xdr:sp macro="" textlink="">
        <xdr:nvSpPr>
          <xdr:cNvPr id="56" name="TextBox 55">
            <a:extLst>
              <a:ext uri="{FF2B5EF4-FFF2-40B4-BE49-F238E27FC236}">
                <a16:creationId xmlns:a16="http://schemas.microsoft.com/office/drawing/2014/main" id="{00000000-0008-0000-0000-000038000000}"/>
              </a:ext>
            </a:extLst>
          </xdr:cNvPr>
          <xdr:cNvSpPr txBox="1"/>
        </xdr:nvSpPr>
        <xdr:spPr>
          <a:xfrm>
            <a:off x="9985247129" y="2997869"/>
            <a:ext cx="3004820" cy="332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200" b="1" i="0" u="none" strike="noStrike" baseline="0">
                <a:solidFill>
                  <a:schemeClr val="bg1">
                    <a:lumMod val="20000"/>
                    <a:lumOff val="80000"/>
                  </a:schemeClr>
                </a:solidFill>
                <a:latin typeface="Calibri"/>
                <a:cs typeface="B Titr" panose="00000700000000000000" pitchFamily="2" charset="-78"/>
              </a:rPr>
              <a:t>بررسی و رتبه بندی کلی شرکت ها </a:t>
            </a:r>
            <a:endParaRPr lang="en-US" sz="1200" b="1" i="0" u="none" strike="noStrike">
              <a:solidFill>
                <a:schemeClr val="bg1">
                  <a:lumMod val="20000"/>
                  <a:lumOff val="80000"/>
                </a:schemeClr>
              </a:solidFill>
              <a:latin typeface="Calibri"/>
              <a:cs typeface="B Titr" panose="00000700000000000000" pitchFamily="2" charset="-78"/>
            </a:endParaRPr>
          </a:p>
        </xdr:txBody>
      </xdr:sp>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1" cstate="print">
            <a:duotone>
              <a:schemeClr val="accent2">
                <a:shade val="45000"/>
                <a:satMod val="135000"/>
              </a:schemeClr>
              <a:prstClr val="white"/>
            </a:duotone>
            <a:extLst>
              <a:ext uri="{BEBA8EAE-BF5A-486C-A8C5-ECC9F3942E4B}">
                <a14:imgProps xmlns:a14="http://schemas.microsoft.com/office/drawing/2010/main">
                  <a14:imgLayer r:embed="rId12">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9988248349" y="2881347"/>
            <a:ext cx="433400" cy="509266"/>
          </a:xfrm>
          <a:prstGeom prst="rect">
            <a:avLst/>
          </a:prstGeom>
        </xdr:spPr>
      </xdr:pic>
    </xdr:grpSp>
    <xdr:clientData/>
  </xdr:twoCellAnchor>
  <xdr:twoCellAnchor>
    <xdr:from>
      <xdr:col>9</xdr:col>
      <xdr:colOff>590550</xdr:colOff>
      <xdr:row>24</xdr:row>
      <xdr:rowOff>161925</xdr:rowOff>
    </xdr:from>
    <xdr:to>
      <xdr:col>10</xdr:col>
      <xdr:colOff>47625</xdr:colOff>
      <xdr:row>37</xdr:row>
      <xdr:rowOff>57150</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10920164850" y="5267325"/>
          <a:ext cx="381000" cy="2781300"/>
          <a:chOff x="9982454001" y="3378199"/>
          <a:chExt cx="330198" cy="3191933"/>
        </a:xfrm>
      </xdr:grpSpPr>
      <xdr:sp macro="" textlink="">
        <xdr:nvSpPr>
          <xdr:cNvPr id="97" name="Rectangle: Rounded Corners 96">
            <a:extLst>
              <a:ext uri="{FF2B5EF4-FFF2-40B4-BE49-F238E27FC236}">
                <a16:creationId xmlns:a16="http://schemas.microsoft.com/office/drawing/2014/main" id="{00000000-0008-0000-0000-000061000000}"/>
              </a:ext>
            </a:extLst>
          </xdr:cNvPr>
          <xdr:cNvSpPr/>
        </xdr:nvSpPr>
        <xdr:spPr>
          <a:xfrm>
            <a:off x="9982454001" y="3378199"/>
            <a:ext cx="330198" cy="3191933"/>
          </a:xfrm>
          <a:prstGeom prst="roundRect">
            <a:avLst>
              <a:gd name="adj" fmla="val 20866"/>
            </a:avLst>
          </a:prstGeom>
          <a:gradFill flip="none" rotWithShape="1">
            <a:gsLst>
              <a:gs pos="0">
                <a:schemeClr val="tx1">
                  <a:lumMod val="75000"/>
                  <a:lumOff val="25000"/>
                  <a:shade val="30000"/>
                  <a:satMod val="115000"/>
                </a:schemeClr>
              </a:gs>
              <a:gs pos="50000">
                <a:schemeClr val="tx1">
                  <a:lumMod val="75000"/>
                  <a:lumOff val="25000"/>
                  <a:shade val="67500"/>
                  <a:satMod val="115000"/>
                </a:schemeClr>
              </a:gs>
              <a:gs pos="100000">
                <a:schemeClr val="accent1"/>
              </a:gs>
            </a:gsLst>
            <a:lin ang="0" scaled="1"/>
            <a:tileRect/>
          </a:gradFill>
          <a:ln w="38100">
            <a:solidFill>
              <a:schemeClr val="bg1">
                <a:lumMod val="20000"/>
                <a:lumOff val="8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solidFill>
                <a:srgbClr val="FFFFFF"/>
              </a:solidFill>
            </a:endParaRPr>
          </a:p>
        </xdr:txBody>
      </xdr:sp>
      <mc:AlternateContent xmlns:mc="http://schemas.openxmlformats.org/markup-compatibility/2006">
        <mc:Choice xmlns:a14="http://schemas.microsoft.com/office/drawing/2010/main" Requires="a14">
          <xdr:sp macro="" textlink="">
            <xdr:nvSpPr>
              <xdr:cNvPr id="1026" name="Scroll Bar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9982496335" y="3420533"/>
                <a:ext cx="220133" cy="3124202"/>
              </a:xfrm>
              <a:prstGeom prst="rect">
                <a:avLst/>
              </a:prstGeom>
              <a:noFill/>
              <a:ln w="9525">
                <a:miter lim="800000"/>
                <a:headEnd/>
                <a:tailEnd/>
              </a:ln>
            </xdr:spPr>
          </xdr:sp>
        </mc:Choice>
        <mc:Fallback/>
      </mc:AlternateContent>
    </xdr:grpSp>
    <xdr:clientData/>
  </xdr:twoCellAnchor>
  <xdr:twoCellAnchor>
    <xdr:from>
      <xdr:col>0</xdr:col>
      <xdr:colOff>104708</xdr:colOff>
      <xdr:row>13</xdr:row>
      <xdr:rowOff>270933</xdr:rowOff>
    </xdr:from>
    <xdr:to>
      <xdr:col>10</xdr:col>
      <xdr:colOff>211599</xdr:colOff>
      <xdr:row>21</xdr:row>
      <xdr:rowOff>149858</xdr:rowOff>
    </xdr:to>
    <xdr:grpSp>
      <xdr:nvGrpSpPr>
        <xdr:cNvPr id="30" name="Group 29">
          <a:extLst>
            <a:ext uri="{FF2B5EF4-FFF2-40B4-BE49-F238E27FC236}">
              <a16:creationId xmlns:a16="http://schemas.microsoft.com/office/drawing/2014/main" id="{00000000-0008-0000-0000-00001E000000}"/>
            </a:ext>
          </a:extLst>
        </xdr:cNvPr>
        <xdr:cNvGrpSpPr/>
      </xdr:nvGrpSpPr>
      <xdr:grpSpPr>
        <a:xfrm>
          <a:off x="10920000876" y="2795058"/>
          <a:ext cx="7155391" cy="1860125"/>
          <a:chOff x="9982072999" y="2819401"/>
          <a:chExt cx="6539767" cy="2029458"/>
        </a:xfrm>
      </xdr:grpSpPr>
      <xdr:sp macro="" textlink="">
        <xdr:nvSpPr>
          <xdr:cNvPr id="110" name="Rectangle: Rounded Corners 109">
            <a:extLst>
              <a:ext uri="{FF2B5EF4-FFF2-40B4-BE49-F238E27FC236}">
                <a16:creationId xmlns:a16="http://schemas.microsoft.com/office/drawing/2014/main" id="{00000000-0008-0000-0000-00006E000000}"/>
              </a:ext>
            </a:extLst>
          </xdr:cNvPr>
          <xdr:cNvSpPr/>
        </xdr:nvSpPr>
        <xdr:spPr>
          <a:xfrm>
            <a:off x="9982161856" y="2844801"/>
            <a:ext cx="6450910" cy="1938863"/>
          </a:xfrm>
          <a:prstGeom prst="roundRect">
            <a:avLst>
              <a:gd name="adj" fmla="val 2917"/>
            </a:avLst>
          </a:prstGeom>
          <a:solidFill>
            <a:srgbClr val="2A2E32"/>
          </a:solidFill>
          <a:ln w="381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solidFill>
                <a:srgbClr val="FFFFFF"/>
              </a:solidFill>
            </a:endParaRPr>
          </a:p>
        </xdr:txBody>
      </xdr:sp>
      <xdr:sp macro="" textlink="">
        <xdr:nvSpPr>
          <xdr:cNvPr id="109" name="TextBox 108">
            <a:extLst>
              <a:ext uri="{FF2B5EF4-FFF2-40B4-BE49-F238E27FC236}">
                <a16:creationId xmlns:a16="http://schemas.microsoft.com/office/drawing/2014/main" id="{00000000-0008-0000-0000-00006D000000}"/>
              </a:ext>
            </a:extLst>
          </xdr:cNvPr>
          <xdr:cNvSpPr txBox="1"/>
        </xdr:nvSpPr>
        <xdr:spPr>
          <a:xfrm>
            <a:off x="9983826441" y="2836333"/>
            <a:ext cx="3004820" cy="293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100" b="1" i="0" u="none" strike="noStrike" baseline="0">
                <a:solidFill>
                  <a:schemeClr val="accent2"/>
                </a:solidFill>
                <a:latin typeface="Calibri"/>
                <a:cs typeface="B Titr" panose="00000700000000000000" pitchFamily="2" charset="-78"/>
              </a:rPr>
              <a:t>بررسی ماهانه میانگین قیمت بار حمل شده</a:t>
            </a:r>
            <a:endParaRPr lang="en-US" sz="1100" b="1" i="0" u="none" strike="noStrike">
              <a:solidFill>
                <a:schemeClr val="accent2"/>
              </a:solidFill>
              <a:latin typeface="Calibri"/>
              <a:cs typeface="B Titr" panose="00000700000000000000" pitchFamily="2" charset="-78"/>
            </a:endParaRPr>
          </a:p>
        </xdr:txBody>
      </xdr:sp>
      <xdr:graphicFrame macro="">
        <xdr:nvGraphicFramePr>
          <xdr:cNvPr id="112" name="Chart 111">
            <a:extLst>
              <a:ext uri="{FF2B5EF4-FFF2-40B4-BE49-F238E27FC236}">
                <a16:creationId xmlns:a16="http://schemas.microsoft.com/office/drawing/2014/main" id="{00000000-0008-0000-0000-000070000000}"/>
              </a:ext>
            </a:extLst>
          </xdr:cNvPr>
          <xdr:cNvGraphicFramePr>
            <a:graphicFrameLocks/>
          </xdr:cNvGraphicFramePr>
        </xdr:nvGraphicFramePr>
        <xdr:xfrm>
          <a:off x="9982072999" y="3158066"/>
          <a:ext cx="6426200" cy="1690793"/>
        </xdr:xfrm>
        <a:graphic>
          <a:graphicData uri="http://schemas.openxmlformats.org/drawingml/2006/chart">
            <c:chart xmlns:c="http://schemas.openxmlformats.org/drawingml/2006/chart" xmlns:r="http://schemas.openxmlformats.org/officeDocument/2006/relationships" r:id="rId13"/>
          </a:graphicData>
        </a:graphic>
      </xdr:graphicFrame>
      <xdr:sp macro="" textlink="calc!BV5">
        <xdr:nvSpPr>
          <xdr:cNvPr id="113" name="TextBox 112">
            <a:extLst>
              <a:ext uri="{FF2B5EF4-FFF2-40B4-BE49-F238E27FC236}">
                <a16:creationId xmlns:a16="http://schemas.microsoft.com/office/drawing/2014/main" id="{00000000-0008-0000-0000-000071000000}"/>
              </a:ext>
            </a:extLst>
          </xdr:cNvPr>
          <xdr:cNvSpPr txBox="1"/>
        </xdr:nvSpPr>
        <xdr:spPr>
          <a:xfrm>
            <a:off x="9983973859" y="2819401"/>
            <a:ext cx="816941" cy="325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fld id="{21019D9E-FF21-47B3-8A40-3118DDD7A0E3}" type="TxLink">
              <a:rPr lang="en-US" sz="1400" b="1" i="0" u="none" strike="noStrike">
                <a:solidFill>
                  <a:schemeClr val="accent2"/>
                </a:solidFill>
                <a:latin typeface="Calibri"/>
                <a:cs typeface="B Nazanin" panose="00000400000000000000" pitchFamily="2" charset="-78"/>
              </a:rPr>
              <a:pPr algn="r" rtl="1"/>
              <a:t>1404</a:t>
            </a:fld>
            <a:endParaRPr lang="en-US" sz="1400" b="1" i="0" u="none" strike="noStrike">
              <a:solidFill>
                <a:schemeClr val="accent2"/>
              </a:solidFill>
              <a:latin typeface="Calibri"/>
              <a:cs typeface="B Nazanin" panose="00000400000000000000" pitchFamily="2" charset="-78"/>
            </a:endParaRPr>
          </a:p>
        </xdr:txBody>
      </xdr:sp>
    </xdr:grpSp>
    <xdr:clientData/>
  </xdr:twoCellAnchor>
  <xdr:twoCellAnchor>
    <xdr:from>
      <xdr:col>1</xdr:col>
      <xdr:colOff>1</xdr:colOff>
      <xdr:row>12</xdr:row>
      <xdr:rowOff>101796</xdr:rowOff>
    </xdr:from>
    <xdr:to>
      <xdr:col>2</xdr:col>
      <xdr:colOff>778587</xdr:colOff>
      <xdr:row>13</xdr:row>
      <xdr:rowOff>158007</xdr:rowOff>
    </xdr:to>
    <xdr:sp macro="" textlink="">
      <xdr:nvSpPr>
        <xdr:cNvPr id="121" name="TextBox 120">
          <a:extLst>
            <a:ext uri="{FF2B5EF4-FFF2-40B4-BE49-F238E27FC236}">
              <a16:creationId xmlns:a16="http://schemas.microsoft.com/office/drawing/2014/main" id="{00000000-0008-0000-0000-000079000000}"/>
            </a:ext>
          </a:extLst>
        </xdr:cNvPr>
        <xdr:cNvSpPr txBox="1"/>
      </xdr:nvSpPr>
      <xdr:spPr>
        <a:xfrm>
          <a:off x="9987322679" y="2582529"/>
          <a:ext cx="1125720" cy="293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endParaRPr lang="fa-IR" sz="1050" b="1" i="0" u="none" strike="noStrike">
            <a:solidFill>
              <a:srgbClr val="FFFFFF"/>
            </a:solidFill>
            <a:latin typeface="SamanBank" panose="00000500000000000000" pitchFamily="2" charset="-78"/>
            <a:cs typeface="B Nazanin" panose="00000400000000000000" pitchFamily="2" charset="-78"/>
          </a:endParaRPr>
        </a:p>
      </xdr:txBody>
    </xdr:sp>
    <xdr:clientData/>
  </xdr:twoCellAnchor>
  <xdr:twoCellAnchor>
    <xdr:from>
      <xdr:col>2</xdr:col>
      <xdr:colOff>720520</xdr:colOff>
      <xdr:row>12</xdr:row>
      <xdr:rowOff>140676</xdr:rowOff>
    </xdr:from>
    <xdr:to>
      <xdr:col>4</xdr:col>
      <xdr:colOff>119040</xdr:colOff>
      <xdr:row>13</xdr:row>
      <xdr:rowOff>144163</xdr:rowOff>
    </xdr:to>
    <xdr:sp macro="" textlink="">
      <xdr:nvSpPr>
        <xdr:cNvPr id="122" name="TextBox 121">
          <a:extLst>
            <a:ext uri="{FF2B5EF4-FFF2-40B4-BE49-F238E27FC236}">
              <a16:creationId xmlns:a16="http://schemas.microsoft.com/office/drawing/2014/main" id="{00000000-0008-0000-0000-00007A000000}"/>
            </a:ext>
          </a:extLst>
        </xdr:cNvPr>
        <xdr:cNvSpPr txBox="1"/>
      </xdr:nvSpPr>
      <xdr:spPr>
        <a:xfrm>
          <a:off x="9986255026" y="2621409"/>
          <a:ext cx="1125720" cy="240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endParaRPr lang="fa-IR" sz="1050" b="1" i="0" u="none" strike="noStrike">
            <a:solidFill>
              <a:srgbClr val="FFFFFF"/>
            </a:solidFill>
            <a:latin typeface="SamanBank" panose="00000500000000000000" pitchFamily="2" charset="-78"/>
            <a:cs typeface="B Nazanin" panose="00000400000000000000" pitchFamily="2" charset="-78"/>
          </a:endParaRPr>
        </a:p>
      </xdr:txBody>
    </xdr:sp>
    <xdr:clientData/>
  </xdr:twoCellAnchor>
  <xdr:twoCellAnchor>
    <xdr:from>
      <xdr:col>2</xdr:col>
      <xdr:colOff>561345</xdr:colOff>
      <xdr:row>11</xdr:row>
      <xdr:rowOff>143933</xdr:rowOff>
    </xdr:from>
    <xdr:to>
      <xdr:col>2</xdr:col>
      <xdr:colOff>607064</xdr:colOff>
      <xdr:row>12</xdr:row>
      <xdr:rowOff>11852</xdr:rowOff>
    </xdr:to>
    <xdr:sp macro="" textlink="">
      <xdr:nvSpPr>
        <xdr:cNvPr id="124" name="TextBox 123">
          <a:extLst>
            <a:ext uri="{FF2B5EF4-FFF2-40B4-BE49-F238E27FC236}">
              <a16:creationId xmlns:a16="http://schemas.microsoft.com/office/drawing/2014/main" id="{00000000-0008-0000-0000-00007C000000}"/>
            </a:ext>
          </a:extLst>
        </xdr:cNvPr>
        <xdr:cNvSpPr txBox="1"/>
      </xdr:nvSpPr>
      <xdr:spPr>
        <a:xfrm flipH="1" flipV="1">
          <a:off x="10958866403" y="2387600"/>
          <a:ext cx="45719"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1"/>
          <a:endParaRPr lang="en-US" sz="2400" b="1" i="0" u="none" strike="noStrike" cap="none" spc="0">
            <a:ln>
              <a:noFill/>
            </a:ln>
            <a:solidFill>
              <a:schemeClr val="accent6"/>
            </a:solidFill>
            <a:effectLst/>
            <a:latin typeface="Calibri"/>
            <a:ea typeface="+mn-ea"/>
            <a:cs typeface="Koodak" panose="00000700000000000000" pitchFamily="2" charset="-78"/>
          </a:endParaRPr>
        </a:p>
      </xdr:txBody>
    </xdr:sp>
    <xdr:clientData/>
  </xdr:twoCellAnchor>
  <xdr:twoCellAnchor>
    <xdr:from>
      <xdr:col>4</xdr:col>
      <xdr:colOff>260350</xdr:colOff>
      <xdr:row>12</xdr:row>
      <xdr:rowOff>177800</xdr:rowOff>
    </xdr:from>
    <xdr:to>
      <xdr:col>9</xdr:col>
      <xdr:colOff>319616</xdr:colOff>
      <xdr:row>13</xdr:row>
      <xdr:rowOff>203200</xdr:rowOff>
    </xdr:to>
    <xdr:sp macro="" textlink="">
      <xdr:nvSpPr>
        <xdr:cNvPr id="114" name="TextBox 113">
          <a:extLst>
            <a:ext uri="{FF2B5EF4-FFF2-40B4-BE49-F238E27FC236}">
              <a16:creationId xmlns:a16="http://schemas.microsoft.com/office/drawing/2014/main" id="{00000000-0008-0000-0000-000072000000}"/>
            </a:ext>
          </a:extLst>
        </xdr:cNvPr>
        <xdr:cNvSpPr txBox="1"/>
      </xdr:nvSpPr>
      <xdr:spPr>
        <a:xfrm>
          <a:off x="10920988234" y="2482850"/>
          <a:ext cx="3735916" cy="244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1"/>
          <a:r>
            <a:rPr lang="fa-IR" sz="1100" b="1" i="0">
              <a:solidFill>
                <a:schemeClr val="accent2"/>
              </a:solidFill>
              <a:effectLst/>
              <a:latin typeface="+mn-lt"/>
              <a:ea typeface="+mn-ea"/>
              <a:cs typeface="B Nazanin" panose="00000400000000000000" pitchFamily="2" charset="-78"/>
            </a:rPr>
            <a:t>مقدار کل سفارشات 1404 باتوجه به مانده</a:t>
          </a:r>
          <a:r>
            <a:rPr lang="fa-IR" sz="1100" b="1" i="0" baseline="0">
              <a:solidFill>
                <a:schemeClr val="accent2"/>
              </a:solidFill>
              <a:effectLst/>
              <a:latin typeface="+mn-lt"/>
              <a:ea typeface="+mn-ea"/>
              <a:cs typeface="B Nazanin" panose="00000400000000000000" pitchFamily="2" charset="-78"/>
            </a:rPr>
            <a:t> تعهدات </a:t>
          </a:r>
          <a:r>
            <a:rPr lang="fa-IR" sz="1100" b="1" i="0">
              <a:solidFill>
                <a:schemeClr val="accent2"/>
              </a:solidFill>
              <a:effectLst/>
              <a:latin typeface="+mn-lt"/>
              <a:ea typeface="+mn-ea"/>
              <a:cs typeface="B Nazanin" panose="00000400000000000000" pitchFamily="2" charset="-78"/>
            </a:rPr>
            <a:t>1403 است</a:t>
          </a:r>
          <a:endParaRPr lang="fa-IR" sz="1050" b="1" i="0" u="none" strike="noStrike">
            <a:solidFill>
              <a:schemeClr val="accent2"/>
            </a:solidFill>
            <a:latin typeface="SamanBank" panose="00000500000000000000" pitchFamily="2" charset="-78"/>
            <a:cs typeface="B Nazanin" panose="00000400000000000000" pitchFamily="2" charset="-78"/>
          </a:endParaRPr>
        </a:p>
      </xdr:txBody>
    </xdr:sp>
    <xdr:clientData/>
  </xdr:twoCellAnchor>
  <xdr:oneCellAnchor>
    <xdr:from>
      <xdr:col>18</xdr:col>
      <xdr:colOff>615949</xdr:colOff>
      <xdr:row>14</xdr:row>
      <xdr:rowOff>29633</xdr:rowOff>
    </xdr:from>
    <xdr:ext cx="1466850" cy="245533"/>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9975723001" y="3033183"/>
          <a:ext cx="1466850" cy="2455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1" anchor="t">
          <a:noAutofit/>
        </a:bodyPr>
        <a:lstStyle/>
        <a:p>
          <a:pPr algn="r" rtl="1"/>
          <a:r>
            <a:rPr lang="fa-IR" sz="900" b="1">
              <a:solidFill>
                <a:schemeClr val="bg1">
                  <a:lumMod val="20000"/>
                  <a:lumOff val="80000"/>
                </a:schemeClr>
              </a:solidFill>
              <a:cs typeface="B Nazanin" panose="00000400000000000000" pitchFamily="2" charset="-78"/>
            </a:rPr>
            <a:t>میانگین قیمت</a:t>
          </a:r>
          <a:r>
            <a:rPr lang="en-US" sz="900" b="1" baseline="0">
              <a:solidFill>
                <a:schemeClr val="bg1">
                  <a:lumMod val="20000"/>
                  <a:lumOff val="80000"/>
                </a:schemeClr>
              </a:solidFill>
              <a:cs typeface="B Nazanin" panose="00000400000000000000" pitchFamily="2" charset="-78"/>
            </a:rPr>
            <a:t> </a:t>
          </a:r>
          <a:r>
            <a:rPr lang="fa-IR" sz="900" b="1" baseline="0">
              <a:solidFill>
                <a:schemeClr val="bg1">
                  <a:lumMod val="20000"/>
                  <a:lumOff val="80000"/>
                </a:schemeClr>
              </a:solidFill>
              <a:cs typeface="B Nazanin" panose="00000400000000000000" pitchFamily="2" charset="-78"/>
            </a:rPr>
            <a:t>حمل نشده (ریال)</a:t>
          </a:r>
          <a:endParaRPr lang="fa-IR" sz="900" b="1">
            <a:solidFill>
              <a:schemeClr val="bg1">
                <a:lumMod val="20000"/>
                <a:lumOff val="80000"/>
              </a:schemeClr>
            </a:solidFill>
            <a:cs typeface="B Nazanin" panose="00000400000000000000" pitchFamily="2" charset="-78"/>
          </a:endParaRPr>
        </a:p>
      </xdr:txBody>
    </xdr:sp>
    <xdr:clientData/>
  </xdr:oneCellAnchor>
  <xdr:twoCellAnchor>
    <xdr:from>
      <xdr:col>31</xdr:col>
      <xdr:colOff>1151670</xdr:colOff>
      <xdr:row>1</xdr:row>
      <xdr:rowOff>148772</xdr:rowOff>
    </xdr:from>
    <xdr:to>
      <xdr:col>36</xdr:col>
      <xdr:colOff>246082</xdr:colOff>
      <xdr:row>13</xdr:row>
      <xdr:rowOff>152402</xdr:rowOff>
    </xdr:to>
    <xdr:grpSp>
      <xdr:nvGrpSpPr>
        <xdr:cNvPr id="41" name="Group 40">
          <a:extLst>
            <a:ext uri="{FF2B5EF4-FFF2-40B4-BE49-F238E27FC236}">
              <a16:creationId xmlns:a16="http://schemas.microsoft.com/office/drawing/2014/main" id="{00000000-0008-0000-0000-000029000000}"/>
            </a:ext>
          </a:extLst>
        </xdr:cNvPr>
        <xdr:cNvGrpSpPr/>
      </xdr:nvGrpSpPr>
      <xdr:grpSpPr>
        <a:xfrm>
          <a:off x="10900049618" y="377372"/>
          <a:ext cx="2942512" cy="2299155"/>
          <a:chOff x="9965701832" y="996901"/>
          <a:chExt cx="2730075" cy="846157"/>
        </a:xfrm>
      </xdr:grpSpPr>
      <xdr:grpSp>
        <xdr:nvGrpSpPr>
          <xdr:cNvPr id="32" name="Group 31">
            <a:extLst>
              <a:ext uri="{FF2B5EF4-FFF2-40B4-BE49-F238E27FC236}">
                <a16:creationId xmlns:a16="http://schemas.microsoft.com/office/drawing/2014/main" id="{00000000-0008-0000-0000-000020000000}"/>
              </a:ext>
            </a:extLst>
          </xdr:cNvPr>
          <xdr:cNvGrpSpPr/>
        </xdr:nvGrpSpPr>
        <xdr:grpSpPr>
          <a:xfrm>
            <a:off x="9965701832" y="996901"/>
            <a:ext cx="2730075" cy="457699"/>
            <a:chOff x="9965701832" y="996901"/>
            <a:chExt cx="2730075" cy="45769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9965701832" y="996901"/>
              <a:ext cx="2730075" cy="29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bIns="36000" rtlCol="0" anchor="ctr"/>
            <a:lstStyle/>
            <a:p>
              <a:pPr algn="ctr" rtl="1"/>
              <a:r>
                <a:rPr lang="fa-IR" sz="1400" b="1" i="0" u="none" strike="noStrike" baseline="0">
                  <a:solidFill>
                    <a:srgbClr val="FFFFFF"/>
                  </a:solidFill>
                  <a:effectLst>
                    <a:outerShdw blurRad="50800" dist="50800" dir="5400000" sx="3000" sy="3000" algn="ctr" rotWithShape="0">
                      <a:srgbClr val="000000">
                        <a:alpha val="43137"/>
                      </a:srgbClr>
                    </a:outerShdw>
                    <a:reflection stA="45000" endPos="0" dist="50800" dir="5400000" sy="-100000" algn="bl" rotWithShape="0"/>
                  </a:effectLst>
                  <a:latin typeface="Calibri"/>
                  <a:ea typeface="+mn-ea"/>
                  <a:cs typeface="B Koodak" panose="00000700000000000000" pitchFamily="2" charset="-78"/>
                </a:rPr>
                <a:t>میانگین قیمت بار حمل شده سال </a:t>
              </a:r>
            </a:p>
          </xdr:txBody>
        </xdr:sp>
        <xdr:sp macro="" textlink="year">
          <xdr:nvSpPr>
            <xdr:cNvPr id="31" name="TextBox 30">
              <a:extLst>
                <a:ext uri="{FF2B5EF4-FFF2-40B4-BE49-F238E27FC236}">
                  <a16:creationId xmlns:a16="http://schemas.microsoft.com/office/drawing/2014/main" id="{00000000-0008-0000-0000-00001F000000}"/>
                </a:ext>
              </a:extLst>
            </xdr:cNvPr>
            <xdr:cNvSpPr txBox="1"/>
          </xdr:nvSpPr>
          <xdr:spPr>
            <a:xfrm>
              <a:off x="9966315303" y="1157838"/>
              <a:ext cx="1396252" cy="29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bIns="36000" rtlCol="0" anchor="ctr"/>
            <a:lstStyle/>
            <a:p>
              <a:pPr algn="ctr" rtl="1"/>
              <a:fld id="{83FB68DC-B06E-4539-BD54-FAF5FFAE43E2}" type="TxLink">
                <a:rPr lang="en-US" sz="2000" b="1" i="0" u="none" strike="noStrike" baseline="0">
                  <a:solidFill>
                    <a:schemeClr val="accent2"/>
                  </a:solidFill>
                  <a:effectLst>
                    <a:outerShdw blurRad="50800" dist="50800" dir="5400000" sx="3000" sy="3000" algn="ctr" rotWithShape="0">
                      <a:srgbClr val="000000">
                        <a:alpha val="43137"/>
                      </a:srgbClr>
                    </a:outerShdw>
                    <a:reflection stA="45000" endPos="0" dist="50800" dir="5400000" sy="-100000" algn="bl" rotWithShape="0"/>
                  </a:effectLst>
                  <a:latin typeface="Calibri"/>
                  <a:ea typeface="+mn-ea"/>
                  <a:cs typeface="Calibri"/>
                </a:rPr>
                <a:pPr algn="ctr" rtl="1"/>
                <a:t>1404</a:t>
              </a:fld>
              <a:endParaRPr lang="fa-IR" sz="2000" b="1" i="0" u="none" strike="noStrike" baseline="0">
                <a:solidFill>
                  <a:schemeClr val="accent2"/>
                </a:solidFill>
                <a:effectLst>
                  <a:outerShdw blurRad="50800" dist="50800" dir="5400000" sx="3000" sy="3000" algn="ctr" rotWithShape="0">
                    <a:srgbClr val="000000">
                      <a:alpha val="43137"/>
                    </a:srgbClr>
                  </a:outerShdw>
                  <a:reflection stA="45000" endPos="0" dist="50800" dir="5400000" sy="-100000" algn="bl" rotWithShape="0"/>
                </a:effectLst>
                <a:latin typeface="Calibri"/>
                <a:ea typeface="+mn-ea"/>
                <a:cs typeface="B Koodak" panose="00000700000000000000" pitchFamily="2" charset="-78"/>
              </a:endParaRPr>
            </a:p>
          </xdr:txBody>
        </xdr:sp>
      </xdr:grpSp>
      <xdr:sp macro="" textlink="calc!DA7">
        <xdr:nvSpPr>
          <xdr:cNvPr id="33" name="TextBox 32">
            <a:extLst>
              <a:ext uri="{FF2B5EF4-FFF2-40B4-BE49-F238E27FC236}">
                <a16:creationId xmlns:a16="http://schemas.microsoft.com/office/drawing/2014/main" id="{00000000-0008-0000-0000-000021000000}"/>
              </a:ext>
            </a:extLst>
          </xdr:cNvPr>
          <xdr:cNvSpPr txBox="1"/>
        </xdr:nvSpPr>
        <xdr:spPr>
          <a:xfrm>
            <a:off x="9966069133" y="1145487"/>
            <a:ext cx="1953186" cy="697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bIns="36000" rtlCol="0" anchor="ctr"/>
          <a:lstStyle/>
          <a:p>
            <a:pPr algn="ctr" rtl="1"/>
            <a:fld id="{D16009A5-37D6-4F3C-A76D-1BD23D9A0219}" type="TxLink">
              <a:rPr lang="en-US" sz="2400" b="1" i="0" u="none" strike="noStrike" baseline="0">
                <a:solidFill>
                  <a:schemeClr val="accent1">
                    <a:lumMod val="40000"/>
                    <a:lumOff val="60000"/>
                  </a:schemeClr>
                </a:solidFill>
                <a:effectLst>
                  <a:outerShdw blurRad="50800" dist="50800" dir="5400000" sx="3000" sy="3000" algn="ctr" rotWithShape="0">
                    <a:srgbClr val="000000">
                      <a:alpha val="43137"/>
                    </a:srgbClr>
                  </a:outerShdw>
                  <a:reflection stA="45000" endPos="0" dist="50800" dir="5400000" sy="-100000" algn="bl" rotWithShape="0"/>
                </a:effectLst>
                <a:latin typeface="Calibri"/>
                <a:ea typeface="+mn-ea"/>
                <a:cs typeface="Calibri"/>
              </a:rPr>
              <a:pPr algn="ctr" rtl="1"/>
              <a:t> 87,786 </a:t>
            </a:fld>
            <a:endParaRPr lang="fa-IR" sz="3200" b="1" i="0" u="none" strike="noStrike" baseline="0">
              <a:solidFill>
                <a:schemeClr val="accent1">
                  <a:lumMod val="40000"/>
                  <a:lumOff val="60000"/>
                </a:schemeClr>
              </a:solidFill>
              <a:effectLst>
                <a:outerShdw blurRad="50800" dist="50800" dir="5400000" sx="3000" sy="3000" algn="ctr" rotWithShape="0">
                  <a:srgbClr val="000000">
                    <a:alpha val="43137"/>
                  </a:srgbClr>
                </a:outerShdw>
                <a:reflection stA="45000" endPos="0" dist="50800" dir="5400000" sy="-100000" algn="bl" rotWithShape="0"/>
              </a:effectLst>
              <a:latin typeface="Calibri"/>
              <a:ea typeface="+mn-ea"/>
              <a:cs typeface="B Koodak" panose="00000700000000000000" pitchFamily="2" charset="-78"/>
            </a:endParaRPr>
          </a:p>
        </xdr:txBody>
      </xdr:sp>
    </xdr:grpSp>
    <xdr:clientData/>
  </xdr:twoCellAnchor>
  <xdr:twoCellAnchor>
    <xdr:from>
      <xdr:col>24</xdr:col>
      <xdr:colOff>160865</xdr:colOff>
      <xdr:row>14</xdr:row>
      <xdr:rowOff>59266</xdr:rowOff>
    </xdr:from>
    <xdr:to>
      <xdr:col>35</xdr:col>
      <xdr:colOff>668864</xdr:colOff>
      <xdr:row>16</xdr:row>
      <xdr:rowOff>216219</xdr:rowOff>
    </xdr:to>
    <xdr:graphicFrame macro="">
      <xdr:nvGraphicFramePr>
        <xdr:cNvPr id="40" name="Chart 39">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420485</xdr:colOff>
      <xdr:row>14</xdr:row>
      <xdr:rowOff>1</xdr:rowOff>
    </xdr:from>
    <xdr:to>
      <xdr:col>18</xdr:col>
      <xdr:colOff>616304</xdr:colOff>
      <xdr:row>16</xdr:row>
      <xdr:rowOff>30303</xdr:rowOff>
    </xdr:to>
    <xdr:grpSp>
      <xdr:nvGrpSpPr>
        <xdr:cNvPr id="52" name="Group 51">
          <a:extLst>
            <a:ext uri="{FF2B5EF4-FFF2-40B4-BE49-F238E27FC236}">
              <a16:creationId xmlns:a16="http://schemas.microsoft.com/office/drawing/2014/main" id="{00000000-0008-0000-0000-000034000000}"/>
            </a:ext>
          </a:extLst>
        </xdr:cNvPr>
        <xdr:cNvGrpSpPr/>
      </xdr:nvGrpSpPr>
      <xdr:grpSpPr>
        <a:xfrm>
          <a:off x="10912795321" y="2847976"/>
          <a:ext cx="1900794" cy="649427"/>
          <a:chOff x="9977552905" y="1193441"/>
          <a:chExt cx="1815008" cy="655186"/>
        </a:xfrm>
      </xdr:grpSpPr>
      <xdr:grpSp>
        <xdr:nvGrpSpPr>
          <xdr:cNvPr id="53" name="Group 52">
            <a:extLst>
              <a:ext uri="{FF2B5EF4-FFF2-40B4-BE49-F238E27FC236}">
                <a16:creationId xmlns:a16="http://schemas.microsoft.com/office/drawing/2014/main" id="{00000000-0008-0000-0000-000035000000}"/>
              </a:ext>
            </a:extLst>
          </xdr:cNvPr>
          <xdr:cNvGrpSpPr/>
        </xdr:nvGrpSpPr>
        <xdr:grpSpPr>
          <a:xfrm>
            <a:off x="9977561493" y="1193441"/>
            <a:ext cx="1806420" cy="313781"/>
            <a:chOff x="9977561493" y="1193441"/>
            <a:chExt cx="1806420" cy="313781"/>
          </a:xfrm>
        </xdr:grpSpPr>
        <xdr:sp macro="" textlink="">
          <xdr:nvSpPr>
            <xdr:cNvPr id="58" name="TextBox 57">
              <a:extLst>
                <a:ext uri="{FF2B5EF4-FFF2-40B4-BE49-F238E27FC236}">
                  <a16:creationId xmlns:a16="http://schemas.microsoft.com/office/drawing/2014/main" id="{00000000-0008-0000-0000-00003A000000}"/>
                </a:ext>
              </a:extLst>
            </xdr:cNvPr>
            <xdr:cNvSpPr txBox="1"/>
          </xdr:nvSpPr>
          <xdr:spPr>
            <a:xfrm>
              <a:off x="9977572979" y="1193441"/>
              <a:ext cx="1794934" cy="29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rtl="1"/>
              <a:r>
                <a:rPr lang="fa-IR" sz="900" b="1" i="0" u="none" strike="noStrike">
                  <a:solidFill>
                    <a:srgbClr val="FFFFFF"/>
                  </a:solidFill>
                  <a:latin typeface="Calibri"/>
                  <a:ea typeface="+mn-ea"/>
                  <a:cs typeface="B Nazanin" panose="00000400000000000000" pitchFamily="2" charset="-78"/>
                </a:rPr>
                <a:t>میانگین قیمت</a:t>
              </a:r>
              <a:r>
                <a:rPr lang="en-US" sz="900" b="1" i="0" u="none" strike="noStrike">
                  <a:solidFill>
                    <a:srgbClr val="FFFFFF"/>
                  </a:solidFill>
                  <a:latin typeface="Calibri"/>
                  <a:ea typeface="+mn-ea"/>
                  <a:cs typeface="B Nazanin" panose="00000400000000000000" pitchFamily="2" charset="-78"/>
                </a:rPr>
                <a:t> </a:t>
              </a:r>
              <a:r>
                <a:rPr lang="fa-IR" sz="900" b="1" i="0" u="none" strike="noStrike">
                  <a:solidFill>
                    <a:srgbClr val="FFFFFF"/>
                  </a:solidFill>
                  <a:latin typeface="Calibri"/>
                  <a:ea typeface="+mn-ea"/>
                  <a:cs typeface="B Nazanin" panose="00000400000000000000" pitchFamily="2" charset="-78"/>
                </a:rPr>
                <a:t>حمل شده سال </a:t>
              </a:r>
            </a:p>
          </xdr:txBody>
        </xdr:sp>
        <xdr:sp macro="" textlink="year">
          <xdr:nvSpPr>
            <xdr:cNvPr id="59" name="TextBox 58">
              <a:extLst>
                <a:ext uri="{FF2B5EF4-FFF2-40B4-BE49-F238E27FC236}">
                  <a16:creationId xmlns:a16="http://schemas.microsoft.com/office/drawing/2014/main" id="{00000000-0008-0000-0000-00003B000000}"/>
                </a:ext>
              </a:extLst>
            </xdr:cNvPr>
            <xdr:cNvSpPr txBox="1"/>
          </xdr:nvSpPr>
          <xdr:spPr>
            <a:xfrm>
              <a:off x="9977561493" y="1210460"/>
              <a:ext cx="558801" cy="29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rtl="1"/>
              <a:fld id="{83FB68DC-B06E-4539-BD54-FAF5FFAE43E2}" type="TxLink">
                <a:rPr lang="en-US" sz="1100" b="1" i="0" u="none" strike="noStrike">
                  <a:solidFill>
                    <a:srgbClr val="FFFFFF"/>
                  </a:solidFill>
                  <a:latin typeface="Calibri"/>
                  <a:ea typeface="+mn-ea"/>
                  <a:cs typeface="B Nazanin" panose="00000400000000000000" pitchFamily="2" charset="-78"/>
                </a:rPr>
                <a:pPr marL="0" indent="0" algn="r" rtl="1"/>
                <a:t>1404</a:t>
              </a:fld>
              <a:endParaRPr lang="fa-IR" sz="1100" b="1" i="0" u="none" strike="noStrike">
                <a:solidFill>
                  <a:srgbClr val="FFFFFF"/>
                </a:solidFill>
                <a:latin typeface="Calibri"/>
                <a:ea typeface="+mn-ea"/>
                <a:cs typeface="B Nazanin" panose="00000400000000000000" pitchFamily="2" charset="-78"/>
              </a:endParaRPr>
            </a:p>
          </xdr:txBody>
        </xdr:sp>
      </xdr:grpSp>
      <xdr:sp macro="" textlink="calc!DA13">
        <xdr:nvSpPr>
          <xdr:cNvPr id="54" name="TextBox 53">
            <a:extLst>
              <a:ext uri="{FF2B5EF4-FFF2-40B4-BE49-F238E27FC236}">
                <a16:creationId xmlns:a16="http://schemas.microsoft.com/office/drawing/2014/main" id="{00000000-0008-0000-0000-000036000000}"/>
              </a:ext>
            </a:extLst>
          </xdr:cNvPr>
          <xdr:cNvSpPr txBox="1"/>
        </xdr:nvSpPr>
        <xdr:spPr>
          <a:xfrm>
            <a:off x="9977552905" y="1357561"/>
            <a:ext cx="1490137" cy="49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rtl="1"/>
            <a:fld id="{00555254-0333-4DF4-AD31-784BCEBC85E9}" type="TxLink">
              <a:rPr lang="en-US" sz="1500" b="1" i="0" u="none" strike="noStrike">
                <a:solidFill>
                  <a:schemeClr val="accent2"/>
                </a:solidFill>
                <a:latin typeface="Calibri"/>
                <a:ea typeface="+mn-ea"/>
                <a:cs typeface="B Nazanin" panose="00000400000000000000" pitchFamily="2" charset="-78"/>
              </a:rPr>
              <a:pPr marL="0" indent="0" algn="r" rtl="1"/>
              <a:t> 105,090 </a:t>
            </a:fld>
            <a:endParaRPr lang="fa-IR" sz="1500" b="1" i="0" u="none" strike="noStrike">
              <a:solidFill>
                <a:schemeClr val="accent2"/>
              </a:solidFill>
              <a:latin typeface="Calibri"/>
              <a:ea typeface="+mn-ea"/>
              <a:cs typeface="B Nazanin" panose="00000400000000000000" pitchFamily="2" charset="-78"/>
            </a:endParaRPr>
          </a:p>
        </xdr:txBody>
      </xdr:sp>
    </xdr:grpSp>
    <xdr:clientData/>
  </xdr:twoCellAnchor>
  <xdr:twoCellAnchor>
    <xdr:from>
      <xdr:col>33</xdr:col>
      <xdr:colOff>142875</xdr:colOff>
      <xdr:row>11</xdr:row>
      <xdr:rowOff>69396</xdr:rowOff>
    </xdr:from>
    <xdr:to>
      <xdr:col>36</xdr:col>
      <xdr:colOff>19050</xdr:colOff>
      <xdr:row>14</xdr:row>
      <xdr:rowOff>25854</xdr:rowOff>
    </xdr:to>
    <xdr:sp macro="" textlink="">
      <xdr:nvSpPr>
        <xdr:cNvPr id="42" name="Rectangle: Rounded Corners 41">
          <a:extLst>
            <a:ext uri="{FF2B5EF4-FFF2-40B4-BE49-F238E27FC236}">
              <a16:creationId xmlns:a16="http://schemas.microsoft.com/office/drawing/2014/main" id="{00000000-0008-0000-0000-00002A000000}"/>
            </a:ext>
          </a:extLst>
        </xdr:cNvPr>
        <xdr:cNvSpPr/>
      </xdr:nvSpPr>
      <xdr:spPr>
        <a:xfrm>
          <a:off x="9965950350" y="2298246"/>
          <a:ext cx="2190750" cy="689883"/>
        </a:xfrm>
        <a:prstGeom prst="roundRect">
          <a:avLst>
            <a:gd name="adj" fmla="val 9359"/>
          </a:avLst>
        </a:prstGeom>
        <a:solidFill>
          <a:srgbClr val="2E3236"/>
        </a:solidFill>
        <a:ln w="381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rtl="1"/>
          <a:r>
            <a:rPr lang="fa-IR" sz="1400" b="1">
              <a:solidFill>
                <a:srgbClr val="FFFFFF"/>
              </a:solidFill>
              <a:cs typeface="B Nazanin" panose="00000400000000000000" pitchFamily="2" charset="-78"/>
            </a:rPr>
            <a:t>نمودار میانگین قیمت حمل</a:t>
          </a:r>
          <a:r>
            <a:rPr lang="fa-IR" sz="1400" b="1" baseline="0">
              <a:solidFill>
                <a:srgbClr val="FFFFFF"/>
              </a:solidFill>
              <a:cs typeface="B Nazanin" panose="00000400000000000000" pitchFamily="2" charset="-78"/>
            </a:rPr>
            <a:t> شده</a:t>
          </a:r>
          <a:r>
            <a:rPr lang="fa-IR" sz="1400" b="1">
              <a:solidFill>
                <a:srgbClr val="FFFFFF"/>
              </a:solidFill>
              <a:cs typeface="B Nazanin" panose="00000400000000000000" pitchFamily="2" charset="-78"/>
            </a:rPr>
            <a:t> </a:t>
          </a:r>
          <a:endParaRPr lang="en-US" sz="1400" b="1">
            <a:solidFill>
              <a:srgbClr val="FFFFFF"/>
            </a:solidFill>
            <a:cs typeface="B Nazanin" panose="00000400000000000000" pitchFamily="2" charset="-78"/>
          </a:endParaRPr>
        </a:p>
      </xdr:txBody>
    </xdr:sp>
    <xdr:clientData/>
  </xdr:twoCellAnchor>
  <xdr:twoCellAnchor>
    <xdr:from>
      <xdr:col>33</xdr:col>
      <xdr:colOff>389466</xdr:colOff>
      <xdr:row>12</xdr:row>
      <xdr:rowOff>6533</xdr:rowOff>
    </xdr:from>
    <xdr:to>
      <xdr:col>35</xdr:col>
      <xdr:colOff>609600</xdr:colOff>
      <xdr:row>14</xdr:row>
      <xdr:rowOff>169334</xdr:rowOff>
    </xdr:to>
    <xdr:sp macro="" textlink="calc!AA3">
      <xdr:nvSpPr>
        <xdr:cNvPr id="43" name="TextBox 42">
          <a:extLst>
            <a:ext uri="{FF2B5EF4-FFF2-40B4-BE49-F238E27FC236}">
              <a16:creationId xmlns:a16="http://schemas.microsoft.com/office/drawing/2014/main" id="{00000000-0008-0000-0000-00002B000000}"/>
            </a:ext>
          </a:extLst>
        </xdr:cNvPr>
        <xdr:cNvSpPr txBox="1"/>
      </xdr:nvSpPr>
      <xdr:spPr>
        <a:xfrm>
          <a:off x="10935140267" y="2411066"/>
          <a:ext cx="1930400" cy="721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fld id="{7D6DDFFD-CE04-492C-9391-481D27C2A82C}" type="TxLink">
            <a:rPr lang="fa-IR" sz="900" b="1" i="0" u="none" strike="noStrike">
              <a:solidFill>
                <a:srgbClr val="FFC000"/>
              </a:solidFill>
              <a:latin typeface="Calibri"/>
              <a:cs typeface="B Titr" panose="00000700000000000000" pitchFamily="2" charset="-78"/>
            </a:rPr>
            <a:pPr algn="ctr" rtl="1"/>
            <a:t>طوس قزوین</a:t>
          </a:fld>
          <a:endParaRPr lang="en-US" sz="900" b="1" i="0" u="none" strike="noStrike">
            <a:solidFill>
              <a:srgbClr val="FFC000"/>
            </a:solidFill>
            <a:latin typeface="Calibri"/>
            <a:cs typeface="B Titr" panose="00000700000000000000" pitchFamily="2" charset="-78"/>
          </a:endParaRPr>
        </a:p>
      </xdr:txBody>
    </xdr:sp>
    <xdr:clientData/>
  </xdr:twoCellAnchor>
  <xdr:twoCellAnchor>
    <xdr:from>
      <xdr:col>22</xdr:col>
      <xdr:colOff>923925</xdr:colOff>
      <xdr:row>15</xdr:row>
      <xdr:rowOff>247649</xdr:rowOff>
    </xdr:from>
    <xdr:to>
      <xdr:col>23</xdr:col>
      <xdr:colOff>263493</xdr:colOff>
      <xdr:row>37</xdr:row>
      <xdr:rowOff>28575</xdr:rowOff>
    </xdr:to>
    <xdr:grpSp>
      <xdr:nvGrpSpPr>
        <xdr:cNvPr id="45" name="Group 44">
          <a:extLst>
            <a:ext uri="{FF2B5EF4-FFF2-40B4-BE49-F238E27FC236}">
              <a16:creationId xmlns:a16="http://schemas.microsoft.com/office/drawing/2014/main" id="{00000000-0008-0000-0000-00002D000000}"/>
            </a:ext>
          </a:extLst>
        </xdr:cNvPr>
        <xdr:cNvGrpSpPr/>
      </xdr:nvGrpSpPr>
      <xdr:grpSpPr>
        <a:xfrm>
          <a:off x="10908795207" y="3419474"/>
          <a:ext cx="301593" cy="4600576"/>
          <a:chOff x="9982470239" y="3386756"/>
          <a:chExt cx="302168" cy="3191933"/>
        </a:xfrm>
      </xdr:grpSpPr>
      <xdr:sp macro="" textlink="">
        <xdr:nvSpPr>
          <xdr:cNvPr id="50" name="Rectangle: Rounded Corners 49">
            <a:extLst>
              <a:ext uri="{FF2B5EF4-FFF2-40B4-BE49-F238E27FC236}">
                <a16:creationId xmlns:a16="http://schemas.microsoft.com/office/drawing/2014/main" id="{00000000-0008-0000-0000-000032000000}"/>
              </a:ext>
            </a:extLst>
          </xdr:cNvPr>
          <xdr:cNvSpPr/>
        </xdr:nvSpPr>
        <xdr:spPr>
          <a:xfrm>
            <a:off x="9982470239" y="3386756"/>
            <a:ext cx="302168" cy="3191933"/>
          </a:xfrm>
          <a:prstGeom prst="roundRect">
            <a:avLst>
              <a:gd name="adj" fmla="val 20866"/>
            </a:avLst>
          </a:prstGeom>
          <a:solidFill>
            <a:schemeClr val="bg1">
              <a:lumMod val="75000"/>
            </a:schemeClr>
          </a:solidFill>
          <a:ln w="38100">
            <a:solidFill>
              <a:srgbClr val="2E3236"/>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solidFill>
                <a:srgbClr val="FFFFFF"/>
              </a:solidFill>
            </a:endParaRPr>
          </a:p>
        </xdr:txBody>
      </xdr:sp>
      <mc:AlternateContent xmlns:mc="http://schemas.openxmlformats.org/markup-compatibility/2006">
        <mc:Choice xmlns:a14="http://schemas.microsoft.com/office/drawing/2010/main" Requires="a14">
          <xdr:sp macro="" textlink="">
            <xdr:nvSpPr>
              <xdr:cNvPr id="1031" name="Scroll Bar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9982524440" y="3413924"/>
                <a:ext cx="196475" cy="3124201"/>
              </a:xfrm>
              <a:prstGeom prst="rect">
                <a:avLst/>
              </a:prstGeom>
              <a:noFill/>
              <a:ln w="9525">
                <a:miter lim="800000"/>
                <a:headEnd/>
                <a:tailEnd/>
              </a:ln>
            </xdr:spPr>
          </xdr:sp>
        </mc:Choice>
        <mc:Fallback/>
      </mc:AlternateContent>
    </xdr:grpSp>
    <xdr:clientData/>
  </xdr:twoCellAnchor>
  <xdr:twoCellAnchor>
    <xdr:from>
      <xdr:col>24</xdr:col>
      <xdr:colOff>257175</xdr:colOff>
      <xdr:row>31</xdr:row>
      <xdr:rowOff>114300</xdr:rowOff>
    </xdr:from>
    <xdr:to>
      <xdr:col>31</xdr:col>
      <xdr:colOff>676275</xdr:colOff>
      <xdr:row>38</xdr:row>
      <xdr:rowOff>1</xdr:rowOff>
    </xdr:to>
    <xdr:graphicFrame macro="">
      <xdr:nvGraphicFramePr>
        <xdr:cNvPr id="57" name="Chart 56">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0.4415</cdr:x>
      <cdr:y>0.91858</cdr:y>
    </cdr:from>
    <cdr:to>
      <cdr:x>0.59107</cdr:x>
      <cdr:y>0.94849</cdr:y>
    </cdr:to>
    <cdr:sp macro="" textlink="">
      <cdr:nvSpPr>
        <cdr:cNvPr id="2" name="TextBox 1">
          <a:extLst xmlns:a="http://schemas.openxmlformats.org/drawingml/2006/main">
            <a:ext uri="{FF2B5EF4-FFF2-40B4-BE49-F238E27FC236}">
              <a16:creationId xmlns:a16="http://schemas.microsoft.com/office/drawing/2014/main" id="{C22E4517-5977-1350-5569-7AFC871C5584}"/>
            </a:ext>
          </a:extLst>
        </cdr:cNvPr>
        <cdr:cNvSpPr txBox="1"/>
      </cdr:nvSpPr>
      <cdr:spPr>
        <a:xfrm xmlns:a="http://schemas.openxmlformats.org/drawingml/2006/main">
          <a:off x="3098800" y="1404098"/>
          <a:ext cx="1049867" cy="4571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fa-IR" sz="1100" kern="1200"/>
        </a:p>
      </cdr:txBody>
    </cdr:sp>
  </cdr:relSizeAnchor>
</c:userShape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68.505336805552" backgroundQuery="1" createdVersion="6" refreshedVersion="8" minRefreshableVersion="3" recordCount="0" supportSubquery="1" supportAdvancedDrill="1" xr:uid="{0AB4DF81-2CD9-429C-AE47-1EEEE3CAD299}">
  <cacheSource type="external" connectionId="12"/>
  <cacheFields count="6">
    <cacheField name="[invoice].[نام مشتری].[نام مشتری]" caption="نام مشتری" numFmtId="0" hierarchy="11" level="1">
      <sharedItems containsSemiMixedTypes="0" containsNonDate="0" containsString="0"/>
    </cacheField>
    <cacheField name="[invoice2].[نام مشتری].[نام مشتری]" caption="نام مشتری" numFmtId="0" hierarchy="27" level="1">
      <sharedItems containsSemiMixedTypes="0" containsNonDate="0" containsString="0"/>
    </cacheField>
    <cacheField name="[Measures].[Sum of میزان سفارش 2]" caption="Sum of میزان سفارش 2" numFmtId="0" hierarchy="65" level="32767"/>
    <cacheField name="[invoice2].[شماره پیش فاکتور].[شماره پیش فاکتور]" caption="شماره پیش فاکتور" numFmtId="0" hierarchy="26" level="1">
      <sharedItems count="1">
        <s v="پ/70-1403"/>
      </sharedItems>
      <extLst>
        <ext xmlns:x15="http://schemas.microsoft.com/office/spreadsheetml/2010/11/main" uri="{4F2E5C28-24EA-4eb8-9CBF-B6C8F9C3D259}">
          <x15:cachedUniqueNames>
            <x15:cachedUniqueName index="0" name="[invoice2].[شماره پیش فاکتور].&amp;[پ/70-1403]"/>
          </x15:cachedUniqueNames>
        </ext>
      </extLst>
    </cacheField>
    <cacheField name="[Measures].[Average of فی 3]" caption="Average of فی 3" numFmtId="0" hierarchy="68" level="32767"/>
    <cacheField name="[invoice2].[نوع].[نوع]" caption="نوع" numFmtId="0" hierarchy="34" level="1">
      <sharedItems containsSemiMixedTypes="0" containsNonDate="0" containsString="0"/>
    </cacheField>
  </cacheFields>
  <cacheHierarchies count="77">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0" memberValueDatatype="20" unbalanced="0"/>
    <cacheHierarchy uniqueName="[bargiri].[ماه]" caption="ماه" attribute="1" defaultMemberUniqueName="[bargiri].[ماه].[All]" allUniqueName="[bargiri].[ماه].[All]" dimensionUniqueName="[bargiri]" displayFolder="" count="0" memberValueDatatype="130" unbalanced="0"/>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0" memberValueDatatype="130" unbalanced="0"/>
    <cacheHierarchy uniqueName="[invoice].[نام مشتری]" caption="نام مشتری" attribute="1" defaultMemberUniqueName="[invoice].[نام مشتری].[All]" allUniqueName="[invoice].[نام مشتری].[All]" dimensionUniqueName="[invoice]" displayFolder="" count="2" memberValueDatatype="130" unbalanced="0">
      <fieldsUsage count="2">
        <fieldUsage x="-1"/>
        <fieldUsage x="0"/>
      </fieldsUsage>
    </cacheHierarchy>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0" memberValueDatatype="130" unbalanced="0"/>
    <cacheHierarchy uniqueName="[invoice].[سال]" caption="سال" attribute="1" defaultMemberUniqueName="[invoice].[سال].[All]" allUniqueName="[invoice].[سال].[All]" dimensionUniqueName="[invoice]" displayFolder="" count="0" memberValueDatatype="20" unbalanced="0"/>
    <cacheHierarchy uniqueName="[invoice].[نوع سفارش]" caption="نوع سفارش" attribute="1" defaultMemberUniqueName="[invoice].[نوع سفارش].[All]" allUniqueName="[invoice].[نوع سفارش].[All]" dimensionUniqueName="[invoice]" displayFolder="" count="0" memberValueDatatype="130" unbalanced="0"/>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0" memberValueDatatype="20" unbalanced="0"/>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0" memberValueDatatype="130" unbalanced="0"/>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2" memberValueDatatype="130" unbalanced="0">
      <fieldsUsage count="2">
        <fieldUsage x="-1"/>
        <fieldUsage x="3"/>
      </fieldsUsage>
    </cacheHierarchy>
    <cacheHierarchy uniqueName="[invoice2].[نام مشتری]" caption="نام مشتری" attribute="1" defaultMemberUniqueName="[invoice2].[نام مشتری].[All]" allUniqueName="[invoice2].[نام مشتری].[All]" dimensionUniqueName="[invoice2]" displayFolder="" count="2" memberValueDatatype="130" unbalanced="0">
      <fieldsUsage count="2">
        <fieldUsage x="-1"/>
        <fieldUsage x="1"/>
      </fieldsUsage>
    </cacheHierarchy>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2" memberValueDatatype="130" unbalanced="0">
      <fieldsUsage count="2">
        <fieldUsage x="-1"/>
        <fieldUsage x="5"/>
      </fieldsUsage>
    </cacheHierarchy>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oneField="1">
      <fieldsUsage count="1">
        <fieldUsage x="2"/>
      </fieldsUsage>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oneField="1">
      <fieldsUsage count="1">
        <fieldUsage x="4"/>
      </fieldsUsage>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ies>
  <kpis count="0"/>
  <dimensions count="5">
    <dimension name="bargiri" uniqueName="[bargiri]" caption="bargiri"/>
    <dimension name="invoice" uniqueName="[invoice]" caption="invoice"/>
    <dimension name="invoice2" uniqueName="[invoice2]" caption="invoice2"/>
    <dimension measure="1" name="Measures" uniqueName="[Measures]" caption="Measures"/>
    <dimension name="Table1" uniqueName="[Table1]" caption="Table1"/>
  </dimensions>
  <measureGroups count="4">
    <measureGroup name="bargiri" caption="bargiri"/>
    <measureGroup name="invoice" caption="invoice"/>
    <measureGroup name="invoice2" caption="invoice2"/>
    <measureGroup name="Table1" caption="Table1"/>
  </measureGroups>
  <maps count="7">
    <map measureGroup="0" dimension="0"/>
    <map measureGroup="0" dimension="1"/>
    <map measureGroup="0" dimension="2"/>
    <map measureGroup="1" dimension="1"/>
    <map measureGroup="1" dimension="2"/>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87.412748148148" backgroundQuery="1" createdVersion="3" refreshedVersion="8" minRefreshableVersion="3" recordCount="0" supportSubquery="1" supportAdvancedDrill="1" xr:uid="{6353AF36-E54C-4C54-BDAB-1E9FE411A8D3}">
  <cacheSource type="external" connectionId="12">
    <extLst>
      <ext xmlns:x14="http://schemas.microsoft.com/office/spreadsheetml/2009/9/main" uri="{F057638F-6D5F-4e77-A914-E7F072B9BCA8}">
        <x14:sourceConnection name="ThisWorkbookDataModel"/>
      </ext>
    </extLst>
  </cacheSource>
  <cacheFields count="0"/>
  <cacheHierarchies count="77">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0" memberValueDatatype="20" unbalanced="0"/>
    <cacheHierarchy uniqueName="[bargiri].[ماه]" caption="ماه" attribute="1" defaultMemberUniqueName="[bargiri].[ماه].[All]" allUniqueName="[bargiri].[ماه].[All]" dimensionUniqueName="[bargiri]" displayFolder="" count="0" memberValueDatatype="130" unbalanced="0"/>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0" memberValueDatatype="130" unbalanced="0"/>
    <cacheHierarchy uniqueName="[invoice].[نام مشتری]" caption="نام مشتری" attribute="1" defaultMemberUniqueName="[invoice].[نام مشتری].[All]" allUniqueName="[invoice].[نام مشتری].[All]" dimensionUniqueName="[invoice]" displayFolder="" count="2" memberValueDatatype="130" unbalanced="0"/>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0" memberValueDatatype="130" unbalanced="0"/>
    <cacheHierarchy uniqueName="[invoice].[سال]" caption="سال" attribute="1" defaultMemberUniqueName="[invoice].[سال].[All]" allUniqueName="[invoice].[سال].[All]" dimensionUniqueName="[invoice]" displayFolder="" count="0" memberValueDatatype="20" unbalanced="0"/>
    <cacheHierarchy uniqueName="[invoice].[نوع سفارش]" caption="نوع سفارش" attribute="1" defaultMemberUniqueName="[invoice].[نوع سفارش].[All]" allUniqueName="[invoice].[نوع سفارش].[All]" dimensionUniqueName="[invoice]" displayFolder="" count="0" memberValueDatatype="130" unbalanced="0"/>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0" memberValueDatatype="20" unbalanced="0"/>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0" memberValueDatatype="130" unbalanced="0"/>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0" memberValueDatatype="130" unbalanced="0"/>
    <cacheHierarchy uniqueName="[invoice2].[نام مشتری]" caption="نام مشتری" attribute="1" defaultMemberUniqueName="[invoice2].[نام مشتری].[All]" allUniqueName="[invoice2].[نام مشتری].[All]" dimensionUniqueName="[invoice2]" displayFolder="" count="0" memberValueDatatype="130" unbalanced="0"/>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0" memberValueDatatype="130" unbalanced="0"/>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41981316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87.412749537034" backgroundQuery="1" createdVersion="6" refreshedVersion="8" minRefreshableVersion="3" recordCount="0" supportSubquery="1" supportAdvancedDrill="1" xr:uid="{14EB0739-B222-43C4-ADEE-75094D11E1E4}">
  <cacheSource type="external" connectionId="12"/>
  <cacheFields count="7">
    <cacheField name="[Measures].[Sum of میزان بارگیری شده]" caption="Sum of میزان بارگیری شده" numFmtId="0" hierarchy="44" level="32767"/>
    <cacheField name="[invoice].[نام مشتری].[نام مشتری]" caption="نام مشتری" numFmtId="0" hierarchy="11" level="1">
      <sharedItems containsSemiMixedTypes="0" containsNonDate="0" containsString="0"/>
    </cacheField>
    <cacheField name="[Measures].[Count of شماره پیش فاکتور]" caption="Count of شماره پیش فاکتور" numFmtId="0" hierarchy="52" level="32767"/>
    <cacheField name="[Measures].[Average of فی 2]" caption="Average of فی 2" numFmtId="0" hierarchy="50" level="32767"/>
    <cacheField name="[Measures].[Count of شماره پیش فاکتور 2]" caption="Count of شماره پیش فاکتور 2" numFmtId="0" hierarchy="54" level="32767"/>
    <cacheField name="[Measures].[Sum of میزان سفارش]" caption="Sum of میزان سفارش" numFmtId="0" hierarchy="46" level="32767"/>
    <cacheField name="[invoice].[نوع سفارش].[نوع سفارش]" caption="نوع سفارش" numFmtId="0" hierarchy="18" level="1">
      <sharedItems containsSemiMixedTypes="0" containsNonDate="0" containsString="0"/>
    </cacheField>
  </cacheFields>
  <cacheHierarchies count="77">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0" memberValueDatatype="20" unbalanced="0"/>
    <cacheHierarchy uniqueName="[bargiri].[ماه]" caption="ماه" attribute="1" defaultMemberUniqueName="[bargiri].[ماه].[All]" allUniqueName="[bargiri].[ماه].[All]" dimensionUniqueName="[bargiri]" displayFolder="" count="0" memberValueDatatype="130" unbalanced="0"/>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0" memberValueDatatype="130" unbalanced="0"/>
    <cacheHierarchy uniqueName="[invoice].[نام مشتری]" caption="نام مشتری" attribute="1" defaultMemberUniqueName="[invoice].[نام مشتری].[All]" allUniqueName="[invoice].[نام مشتری].[All]" dimensionUniqueName="[invoice]" displayFolder="" count="2" memberValueDatatype="130" unbalanced="0">
      <fieldsUsage count="2">
        <fieldUsage x="-1"/>
        <fieldUsage x="1"/>
      </fieldsUsage>
    </cacheHierarchy>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0" memberValueDatatype="130" unbalanced="0"/>
    <cacheHierarchy uniqueName="[invoice].[سال]" caption="سال" attribute="1" defaultMemberUniqueName="[invoice].[سال].[All]" allUniqueName="[invoice].[سال].[All]" dimensionUniqueName="[invoice]" displayFolder="" count="0" memberValueDatatype="20" unbalanced="0"/>
    <cacheHierarchy uniqueName="[invoice].[نوع سفارش]" caption="نوع سفارش" attribute="1" defaultMemberUniqueName="[invoice].[نوع سفارش].[All]" allUniqueName="[invoice].[نوع سفارش].[All]" dimensionUniqueName="[invoice]" displayFolder="" count="2" memberValueDatatype="130" unbalanced="0">
      <fieldsUsage count="2">
        <fieldUsage x="-1"/>
        <fieldUsage x="6"/>
      </fieldsUsage>
    </cacheHierarchy>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0" memberValueDatatype="20" unbalanced="0"/>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0" memberValueDatatype="130" unbalanced="0"/>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0" memberValueDatatype="130" unbalanced="0"/>
    <cacheHierarchy uniqueName="[invoice2].[نام مشتری]" caption="نام مشتری" attribute="1" defaultMemberUniqueName="[invoice2].[نام مشتری].[All]" allUniqueName="[invoice2].[نام مشتری].[All]" dimensionUniqueName="[invoice2]" displayFolder="" count="0" memberValueDatatype="130" unbalanced="0"/>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0" memberValueDatatype="130" unbalanced="0"/>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oneField="1">
      <fieldsUsage count="1">
        <fieldUsage x="0"/>
      </fieldsUsage>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oneField="1">
      <fieldsUsage count="1">
        <fieldUsage x="5"/>
      </fieldsUsage>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oneField="1">
      <fieldsUsage count="1">
        <fieldUsage x="3"/>
      </fieldsUsage>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oneField="1">
      <fieldsUsage count="1">
        <fieldUsage x="2"/>
      </fieldsUsage>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oneField="1">
      <fieldsUsage count="1">
        <fieldUsage x="4"/>
      </fieldsUsage>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ies>
  <kpis count="0"/>
  <dimensions count="5">
    <dimension name="bargiri" uniqueName="[bargiri]" caption="bargiri"/>
    <dimension name="invoice" uniqueName="[invoice]" caption="invoice"/>
    <dimension name="invoice2" uniqueName="[invoice2]" caption="invoice2"/>
    <dimension measure="1" name="Measures" uniqueName="[Measures]" caption="Measures"/>
    <dimension name="Table1" uniqueName="[Table1]" caption="Table1"/>
  </dimensions>
  <measureGroups count="4">
    <measureGroup name="bargiri" caption="bargiri"/>
    <measureGroup name="invoice" caption="invoice"/>
    <measureGroup name="invoice2" caption="invoice2"/>
    <measureGroup name="Table1" caption="Table1"/>
  </measureGroups>
  <maps count="7">
    <map measureGroup="0" dimension="0"/>
    <map measureGroup="0" dimension="1"/>
    <map measureGroup="0" dimension="2"/>
    <map measureGroup="1" dimension="1"/>
    <map measureGroup="1" dimension="2"/>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87.412751967589" backgroundQuery="1" createdVersion="6" refreshedVersion="8" minRefreshableVersion="3" recordCount="0" supportSubquery="1" supportAdvancedDrill="1" xr:uid="{4B0A6C45-218A-4F97-A3D1-E4187FBFCBAC}">
  <cacheSource type="external" connectionId="12"/>
  <cacheFields count="8">
    <cacheField name="[Measures].[Sum of میزان بارگیری شده]" caption="Sum of میزان بارگیری شده" numFmtId="0" hierarchy="44" level="32767"/>
    <cacheField name="[Measures].[Average of فی 2]" caption="Average of فی 2" numFmtId="0" hierarchy="50" level="32767"/>
    <cacheField name="[invoice].[نام مشتری].[نام مشتری]" caption="نام مشتری" numFmtId="0" hierarchy="11" level="1">
      <sharedItems containsSemiMixedTypes="0" containsNonDate="0" containsString="0"/>
    </cacheField>
    <cacheField name="[Measures].[Sum of میزان سفارش]" caption="Sum of میزان سفارش" numFmtId="0" hierarchy="46" level="32767"/>
    <cacheField name="[invoice].[شماره پیش فاکتور].[شماره پیش فاکتور]" caption="شماره پیش فاکتور" numFmtId="0" hierarchy="10" level="1">
      <sharedItems count="17">
        <s v="الحاقیه پ/43-1402"/>
        <s v="الحاقیه پ/53-1403"/>
        <s v="الحاقیه پ/61-1403"/>
        <s v="پ/02-1404"/>
        <s v="پ/04-1404"/>
        <s v="پ/22-1403"/>
        <s v="پ/24-1404"/>
        <s v="پ/28-1404"/>
        <s v="پ/29-1404"/>
        <s v="پ/32-1404"/>
        <s v="پ/39-1404"/>
        <s v="پ/43-1402"/>
        <s v="پ/46-1404"/>
        <s v="پ/47-1404"/>
        <s v="پ/51-1404"/>
        <s v="پ/71-1403"/>
        <s v="پ/73-1403"/>
      </sharedItems>
      <extLst>
        <ext xmlns:x15="http://schemas.microsoft.com/office/spreadsheetml/2010/11/main" uri="{4F2E5C28-24EA-4eb8-9CBF-B6C8F9C3D259}">
          <x15:cachedUniqueNames>
            <x15:cachedUniqueName index="0" name="[invoice].[شماره پیش فاکتور].&amp;[الحاقیه پ/43-1402]"/>
            <x15:cachedUniqueName index="1" name="[invoice].[شماره پیش فاکتور].&amp;[الحاقیه پ/53-1403]"/>
            <x15:cachedUniqueName index="2" name="[invoice].[شماره پیش فاکتور].&amp;[الحاقیه پ/61-1403]"/>
            <x15:cachedUniqueName index="3" name="[invoice].[شماره پیش فاکتور].&amp;[پ/02-1404]"/>
            <x15:cachedUniqueName index="4" name="[invoice].[شماره پیش فاکتور].&amp;[پ/04-1404]"/>
            <x15:cachedUniqueName index="5" name="[invoice].[شماره پیش فاکتور].&amp;[پ/22-1403]"/>
            <x15:cachedUniqueName index="6" name="[invoice].[شماره پیش فاکتور].&amp;[پ/24-1404]"/>
            <x15:cachedUniqueName index="7" name="[invoice].[شماره پیش فاکتور].&amp;[پ/28-1404]"/>
            <x15:cachedUniqueName index="8" name="[invoice].[شماره پیش فاکتور].&amp;[پ/29-1404]"/>
            <x15:cachedUniqueName index="9" name="[invoice].[شماره پیش فاکتور].&amp;[پ/32-1404]"/>
            <x15:cachedUniqueName index="10" name="[invoice].[شماره پیش فاکتور].&amp;[پ/39-1404]"/>
            <x15:cachedUniqueName index="11" name="[invoice].[شماره پیش فاکتور].&amp;[پ/43-1402]"/>
            <x15:cachedUniqueName index="12" name="[invoice].[شماره پیش فاکتور].&amp;[پ/46-1404]"/>
            <x15:cachedUniqueName index="13" name="[invoice].[شماره پیش فاکتور].&amp;[پ/47-1404]"/>
            <x15:cachedUniqueName index="14" name="[invoice].[شماره پیش فاکتور].&amp;[پ/51-1404]"/>
            <x15:cachedUniqueName index="15" name="[invoice].[شماره پیش فاکتور].&amp;[پ/71-1403]"/>
            <x15:cachedUniqueName index="16" name="[invoice].[شماره پیش فاکتور].&amp;[پ/73-1403]"/>
          </x15:cachedUniqueNames>
        </ext>
      </extLst>
    </cacheField>
    <cacheField name="[invoice].[نوع سفارش].[نوع سفارش]" caption="نوع سفارش" numFmtId="0" hierarchy="18" level="1">
      <sharedItems containsSemiMixedTypes="0" containsNonDate="0" containsString="0"/>
    </cacheField>
    <cacheField name="[Measures].[Sum of درصد میزان بارگیری شده]" caption="Sum of درصد میزان بارگیری شده" numFmtId="0" hierarchy="70" level="32767"/>
    <cacheField name="[invoice].[Calculated Column 1].[Calculated Column 1]" caption="Calculated Column 1" numFmtId="0" hierarchy="25" level="1">
      <sharedItems containsSemiMixedTypes="0" containsNonDate="0" containsString="0"/>
    </cacheField>
  </cacheFields>
  <cacheHierarchies count="77">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0" memberValueDatatype="20" unbalanced="0"/>
    <cacheHierarchy uniqueName="[bargiri].[ماه]" caption="ماه" attribute="1" defaultMemberUniqueName="[bargiri].[ماه].[All]" allUniqueName="[bargiri].[ماه].[All]" dimensionUniqueName="[bargiri]" displayFolder="" count="0" memberValueDatatype="130" unbalanced="0"/>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2" memberValueDatatype="130" unbalanced="0">
      <fieldsUsage count="2">
        <fieldUsage x="-1"/>
        <fieldUsage x="4"/>
      </fieldsUsage>
    </cacheHierarchy>
    <cacheHierarchy uniqueName="[invoice].[نام مشتری]" caption="نام مشتری" attribute="1" defaultMemberUniqueName="[invoice].[نام مشتری].[All]" allUniqueName="[invoice].[نام مشتری].[All]" dimensionUniqueName="[invoice]" displayFolder="" count="2" memberValueDatatype="130" unbalanced="0">
      <fieldsUsage count="2">
        <fieldUsage x="-1"/>
        <fieldUsage x="2"/>
      </fieldsUsage>
    </cacheHierarchy>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0" memberValueDatatype="130" unbalanced="0"/>
    <cacheHierarchy uniqueName="[invoice].[سال]" caption="سال" attribute="1" defaultMemberUniqueName="[invoice].[سال].[All]" allUniqueName="[invoice].[سال].[All]" dimensionUniqueName="[invoice]" displayFolder="" count="0" memberValueDatatype="20" unbalanced="0"/>
    <cacheHierarchy uniqueName="[invoice].[نوع سفارش]" caption="نوع سفارش" attribute="1" defaultMemberUniqueName="[invoice].[نوع سفارش].[All]" allUniqueName="[invoice].[نوع سفارش].[All]" dimensionUniqueName="[invoice]" displayFolder="" count="2" memberValueDatatype="130" unbalanced="0">
      <fieldsUsage count="2">
        <fieldUsage x="-1"/>
        <fieldUsage x="5"/>
      </fieldsUsage>
    </cacheHierarchy>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0" memberValueDatatype="20" unbalanced="0"/>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2" memberValueDatatype="130" unbalanced="0">
      <fieldsUsage count="2">
        <fieldUsage x="-1"/>
        <fieldUsage x="7"/>
      </fieldsUsage>
    </cacheHierarchy>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0" memberValueDatatype="130" unbalanced="0"/>
    <cacheHierarchy uniqueName="[invoice2].[نام مشتری]" caption="نام مشتری" attribute="1" defaultMemberUniqueName="[invoice2].[نام مشتری].[All]" allUniqueName="[invoice2].[نام مشتری].[All]" dimensionUniqueName="[invoice2]" displayFolder="" count="0" memberValueDatatype="130" unbalanced="0"/>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0" memberValueDatatype="130" unbalanced="0"/>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oneField="1">
      <fieldsUsage count="1">
        <fieldUsage x="0"/>
      </fieldsUsage>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oneField="1">
      <fieldsUsage count="1">
        <fieldUsage x="3"/>
      </fieldsUsage>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oneField="1">
      <fieldsUsage count="1">
        <fieldUsage x="1"/>
      </fieldsUsage>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oneField="1">
      <fieldsUsage count="1">
        <fieldUsage x="6"/>
      </fieldsUsage>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ies>
  <kpis count="0"/>
  <dimensions count="5">
    <dimension name="bargiri" uniqueName="[bargiri]" caption="bargiri"/>
    <dimension name="invoice" uniqueName="[invoice]" caption="invoice"/>
    <dimension name="invoice2" uniqueName="[invoice2]" caption="invoice2"/>
    <dimension measure="1" name="Measures" uniqueName="[Measures]" caption="Measures"/>
    <dimension name="Table1" uniqueName="[Table1]" caption="Table1"/>
  </dimensions>
  <measureGroups count="4">
    <measureGroup name="bargiri" caption="bargiri"/>
    <measureGroup name="invoice" caption="invoice"/>
    <measureGroup name="invoice2" caption="invoice2"/>
    <measureGroup name="Table1" caption="Table1"/>
  </measureGroups>
  <maps count="7">
    <map measureGroup="0" dimension="0"/>
    <map measureGroup="0" dimension="1"/>
    <map measureGroup="0" dimension="2"/>
    <map measureGroup="1" dimension="1"/>
    <map measureGroup="1" dimension="2"/>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87.41275358796" backgroundQuery="1" createdVersion="6" refreshedVersion="8" minRefreshableVersion="3" recordCount="0" supportSubquery="1" supportAdvancedDrill="1" xr:uid="{34D6D375-FC4F-4DBB-8166-A86FB534DE81}">
  <cacheSource type="external" connectionId="12"/>
  <cacheFields count="8">
    <cacheField name="[invoice].[نام مشتری].[نام مشتری]" caption="نام مشتری" numFmtId="0" hierarchy="11" level="1">
      <sharedItems containsSemiMixedTypes="0" containsNonDate="0" containsString="0"/>
    </cacheField>
    <cacheField name="[invoice2].[نام مشتری].[نام مشتری]" caption="نام مشتری" numFmtId="0" hierarchy="27" level="1">
      <sharedItems containsSemiMixedTypes="0" containsNonDate="0" containsString="0"/>
    </cacheField>
    <cacheField name="[Measures].[Sum of میزان بارگیری شده]" caption="Sum of میزان بارگیری شده" numFmtId="0" hierarchy="44" level="32767"/>
    <cacheField name="[invoice].[شماره پیش فاکتور].[شماره پیش فاکتور]" caption="شماره پیش فاکتور" numFmtId="0" hierarchy="10" level="1">
      <sharedItems count="22">
        <s v="121839"/>
        <s v="الحاقیه پ/43-1402"/>
        <s v="الحاقیه پ/53-1403"/>
        <s v="الحاقیه پ/61-1403"/>
        <s v="پ/02-1404"/>
        <s v="پ/04-1404"/>
        <s v="پ/22-1403"/>
        <s v="پ/24-1404"/>
        <s v="پ/27-1403"/>
        <s v="پ/28-1404"/>
        <s v="پ/29-1404"/>
        <s v="پ/32-1404"/>
        <s v="پ/33-1403"/>
        <s v="پ/37-1403"/>
        <s v="پ/39-1404"/>
        <s v="پ/41-1403"/>
        <s v="پ/43-1402"/>
        <s v="پ/46-1404"/>
        <s v="پ/47-1404"/>
        <s v="پ/51-1404"/>
        <s v="پ/71-1403"/>
        <s v="پ/73-1403"/>
      </sharedItems>
      <extLst>
        <ext xmlns:x15="http://schemas.microsoft.com/office/spreadsheetml/2010/11/main" uri="{4F2E5C28-24EA-4eb8-9CBF-B6C8F9C3D259}">
          <x15:cachedUniqueNames>
            <x15:cachedUniqueName index="0" name="[invoice].[شماره پیش فاکتور].&amp;[121839]"/>
            <x15:cachedUniqueName index="1" name="[invoice].[شماره پیش فاکتور].&amp;[الحاقیه پ/43-1402]"/>
            <x15:cachedUniqueName index="2" name="[invoice].[شماره پیش فاکتور].&amp;[الحاقیه پ/53-1403]"/>
            <x15:cachedUniqueName index="3" name="[invoice].[شماره پیش فاکتور].&amp;[الحاقیه پ/61-1403]"/>
            <x15:cachedUniqueName index="4" name="[invoice].[شماره پیش فاکتور].&amp;[پ/02-1404]"/>
            <x15:cachedUniqueName index="5" name="[invoice].[شماره پیش فاکتور].&amp;[پ/04-1404]"/>
            <x15:cachedUniqueName index="6" name="[invoice].[شماره پیش فاکتور].&amp;[پ/22-1403]"/>
            <x15:cachedUniqueName index="7" name="[invoice].[شماره پیش فاکتور].&amp;[پ/24-1404]"/>
            <x15:cachedUniqueName index="8" name="[invoice].[شماره پیش فاکتور].&amp;[پ/27-1403]"/>
            <x15:cachedUniqueName index="9" name="[invoice].[شماره پیش فاکتور].&amp;[پ/28-1404]"/>
            <x15:cachedUniqueName index="10" name="[invoice].[شماره پیش فاکتور].&amp;[پ/29-1404]"/>
            <x15:cachedUniqueName index="11" name="[invoice].[شماره پیش فاکتور].&amp;[پ/32-1404]"/>
            <x15:cachedUniqueName index="12" name="[invoice].[شماره پیش فاکتور].&amp;[پ/33-1403]"/>
            <x15:cachedUniqueName index="13" name="[invoice].[شماره پیش فاکتور].&amp;[پ/37-1403]"/>
            <x15:cachedUniqueName index="14" name="[invoice].[شماره پیش فاکتور].&amp;[پ/39-1404]"/>
            <x15:cachedUniqueName index="15" name="[invoice].[شماره پیش فاکتور].&amp;[پ/41-1403]"/>
            <x15:cachedUniqueName index="16" name="[invoice].[شماره پیش فاکتور].&amp;[پ/43-1402]"/>
            <x15:cachedUniqueName index="17" name="[invoice].[شماره پیش فاکتور].&amp;[پ/46-1404]"/>
            <x15:cachedUniqueName index="18" name="[invoice].[شماره پیش فاکتور].&amp;[پ/47-1404]"/>
            <x15:cachedUniqueName index="19" name="[invoice].[شماره پیش فاکتور].&amp;[پ/51-1404]"/>
            <x15:cachedUniqueName index="20" name="[invoice].[شماره پیش فاکتور].&amp;[پ/71-1403]"/>
            <x15:cachedUniqueName index="21" name="[invoice].[شماره پیش فاکتور].&amp;[پ/73-1403]"/>
          </x15:cachedUniqueNames>
        </ext>
      </extLst>
    </cacheField>
    <cacheField name="[Measures].[Sum of میزان سفارش]" caption="Sum of میزان سفارش" numFmtId="0" hierarchy="46" level="32767"/>
    <cacheField name="[Measures].[Average of فی]" caption="Average of فی" numFmtId="0" hierarchy="49" level="32767"/>
    <cacheField name="[Measures].[Average of فی 2]" caption="Average of فی 2" numFmtId="0" hierarchy="50" level="32767"/>
    <cacheField name="[invoice].[نوع سفارش].[نوع سفارش]" caption="نوع سفارش" numFmtId="0" hierarchy="18" level="1">
      <sharedItems containsSemiMixedTypes="0" containsNonDate="0" containsString="0"/>
    </cacheField>
  </cacheFields>
  <cacheHierarchies count="77">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0" memberValueDatatype="20" unbalanced="0"/>
    <cacheHierarchy uniqueName="[bargiri].[ماه]" caption="ماه" attribute="1" defaultMemberUniqueName="[bargiri].[ماه].[All]" allUniqueName="[bargiri].[ماه].[All]" dimensionUniqueName="[bargiri]" displayFolder="" count="0" memberValueDatatype="130" unbalanced="0"/>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2" memberValueDatatype="130" unbalanced="0">
      <fieldsUsage count="2">
        <fieldUsage x="-1"/>
        <fieldUsage x="3"/>
      </fieldsUsage>
    </cacheHierarchy>
    <cacheHierarchy uniqueName="[invoice].[نام مشتری]" caption="نام مشتری" attribute="1" defaultMemberUniqueName="[invoice].[نام مشتری].[All]" allUniqueName="[invoice].[نام مشتری].[All]" dimensionUniqueName="[invoice]" displayFolder="" count="2" memberValueDatatype="130" unbalanced="0">
      <fieldsUsage count="2">
        <fieldUsage x="-1"/>
        <fieldUsage x="0"/>
      </fieldsUsage>
    </cacheHierarchy>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0" memberValueDatatype="130" unbalanced="0"/>
    <cacheHierarchy uniqueName="[invoice].[سال]" caption="سال" attribute="1" defaultMemberUniqueName="[invoice].[سال].[All]" allUniqueName="[invoice].[سال].[All]" dimensionUniqueName="[invoice]" displayFolder="" count="0" memberValueDatatype="20" unbalanced="0"/>
    <cacheHierarchy uniqueName="[invoice].[نوع سفارش]" caption="نوع سفارش" attribute="1" defaultMemberUniqueName="[invoice].[نوع سفارش].[All]" allUniqueName="[invoice].[نوع سفارش].[All]" dimensionUniqueName="[invoice]" displayFolder="" count="2" memberValueDatatype="130" unbalanced="0">
      <fieldsUsage count="2">
        <fieldUsage x="-1"/>
        <fieldUsage x="7"/>
      </fieldsUsage>
    </cacheHierarchy>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0" memberValueDatatype="20" unbalanced="0"/>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0" memberValueDatatype="130" unbalanced="0"/>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0" memberValueDatatype="130" unbalanced="0"/>
    <cacheHierarchy uniqueName="[invoice2].[نام مشتری]" caption="نام مشتری" attribute="1" defaultMemberUniqueName="[invoice2].[نام مشتری].[All]" allUniqueName="[invoice2].[نام مشتری].[All]" dimensionUniqueName="[invoice2]" displayFolder="" count="2" memberValueDatatype="130" unbalanced="0">
      <fieldsUsage count="2">
        <fieldUsage x="-1"/>
        <fieldUsage x="1"/>
      </fieldsUsage>
    </cacheHierarchy>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0" memberValueDatatype="130" unbalanced="0"/>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oneField="1">
      <fieldsUsage count="1">
        <fieldUsage x="2"/>
      </fieldsUsage>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oneField="1">
      <fieldsUsage count="1">
        <fieldUsage x="4"/>
      </fieldsUsage>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oneField="1">
      <fieldsUsage count="1">
        <fieldUsage x="5"/>
      </fieldsUsage>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oneField="1">
      <fieldsUsage count="1">
        <fieldUsage x="6"/>
      </fieldsUsage>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ies>
  <kpis count="0"/>
  <dimensions count="5">
    <dimension name="bargiri" uniqueName="[bargiri]" caption="bargiri"/>
    <dimension name="invoice" uniqueName="[invoice]" caption="invoice"/>
    <dimension name="invoice2" uniqueName="[invoice2]" caption="invoice2"/>
    <dimension measure="1" name="Measures" uniqueName="[Measures]" caption="Measures"/>
    <dimension name="Table1" uniqueName="[Table1]" caption="Table1"/>
  </dimensions>
  <measureGroups count="4">
    <measureGroup name="bargiri" caption="bargiri"/>
    <measureGroup name="invoice" caption="invoice"/>
    <measureGroup name="invoice2" caption="invoice2"/>
    <measureGroup name="Table1" caption="Table1"/>
  </measureGroups>
  <maps count="7">
    <map measureGroup="0" dimension="0"/>
    <map measureGroup="0" dimension="1"/>
    <map measureGroup="0" dimension="2"/>
    <map measureGroup="1" dimension="1"/>
    <map measureGroup="1" dimension="2"/>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87.41275520833" backgroundQuery="1" createdVersion="6" refreshedVersion="8" minRefreshableVersion="3" recordCount="0" supportSubquery="1" supportAdvancedDrill="1" xr:uid="{39030B83-33C8-46AD-B668-D03D6714D3A9}">
  <cacheSource type="external" connectionId="12"/>
  <cacheFields count="12">
    <cacheField name="[Measures].[Sum of میزان بارگیری شده]" caption="Sum of میزان بارگیری شده" numFmtId="0" hierarchy="44" level="32767"/>
    <cacheField name="[Measures].[Average of فی 2]" caption="Average of فی 2" numFmtId="0" hierarchy="50" level="32767"/>
    <cacheField name="[Measures].[Sum of میزان سفارش]" caption="Sum of میزان سفارش" numFmtId="0" hierarchy="46" level="32767"/>
    <cacheField name="[invoice].[نام مشتری].[نام مشتری]" caption="نام مشتری" numFmtId="0" hierarchy="11" level="1">
      <sharedItems containsSemiMixedTypes="0" containsNonDate="0" containsString="0"/>
    </cacheField>
    <cacheField name="[Measures].[Count of شماره پیش فاکتور 2]" caption="Count of شماره پیش فاکتور 2" numFmtId="0" hierarchy="54" level="32767"/>
    <cacheField name="[Measures].[Count of شماره پیش فاکتور]" caption="Count of شماره پیش فاکتور" numFmtId="0" hierarchy="52" level="32767"/>
    <cacheField name="[Measures].[Average of میزان بارگیری شده]" caption="Average of میزان بارگیری شده" numFmtId="0" hierarchy="59" level="32767"/>
    <cacheField name="[Measures].[Average of میزان سفارش]" caption="Average of میزان سفارش" numFmtId="0" hierarchy="60" level="32767"/>
    <cacheField name="[Measures].[StdDev of میزان بارگیری شده]" caption="StdDev of میزان بارگیری شده" numFmtId="0" hierarchy="61" level="32767"/>
    <cacheField name="[Measures].[StdDevp of میزان سفارش]" caption="StdDevp of میزان سفارش" numFmtId="0" hierarchy="63" level="32767"/>
    <cacheField name="[invoice].[سال].[سال]" caption="سال" numFmtId="0" hierarchy="17" level="1">
      <sharedItems containsSemiMixedTypes="0" containsNonDate="0" containsString="0"/>
    </cacheField>
    <cacheField name="[Measures].[Distinct Count of نام مشتری]" caption="Distinct Count of نام مشتری" numFmtId="0" hierarchy="57" level="32767"/>
  </cacheFields>
  <cacheHierarchies count="77">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0" memberValueDatatype="20" unbalanced="0"/>
    <cacheHierarchy uniqueName="[bargiri].[ماه]" caption="ماه" attribute="1" defaultMemberUniqueName="[bargiri].[ماه].[All]" allUniqueName="[bargiri].[ماه].[All]" dimensionUniqueName="[bargiri]" displayFolder="" count="0" memberValueDatatype="130" unbalanced="0"/>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0" memberValueDatatype="130" unbalanced="0"/>
    <cacheHierarchy uniqueName="[invoice].[نام مشتری]" caption="نام مشتری" attribute="1" defaultMemberUniqueName="[invoice].[نام مشتری].[All]" allUniqueName="[invoice].[نام مشتری].[All]" dimensionUniqueName="[invoice]" displayFolder="" count="2" memberValueDatatype="130" unbalanced="0">
      <fieldsUsage count="2">
        <fieldUsage x="-1"/>
        <fieldUsage x="3"/>
      </fieldsUsage>
    </cacheHierarchy>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0" memberValueDatatype="130" unbalanced="0"/>
    <cacheHierarchy uniqueName="[invoice].[سال]" caption="سال" attribute="1" defaultMemberUniqueName="[invoice].[سال].[All]" allUniqueName="[invoice].[سال].[All]" dimensionUniqueName="[invoice]" displayFolder="" count="2" memberValueDatatype="20" unbalanced="0">
      <fieldsUsage count="2">
        <fieldUsage x="-1"/>
        <fieldUsage x="10"/>
      </fieldsUsage>
    </cacheHierarchy>
    <cacheHierarchy uniqueName="[invoice].[نوع سفارش]" caption="نوع سفارش" attribute="1" defaultMemberUniqueName="[invoice].[نوع سفارش].[All]" allUniqueName="[invoice].[نوع سفارش].[All]" dimensionUniqueName="[invoice]" displayFolder="" count="0" memberValueDatatype="130" unbalanced="0"/>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0" memberValueDatatype="20" unbalanced="0"/>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0" memberValueDatatype="130" unbalanced="0"/>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0" memberValueDatatype="130" unbalanced="0"/>
    <cacheHierarchy uniqueName="[invoice2].[نام مشتری]" caption="نام مشتری" attribute="1" defaultMemberUniqueName="[invoice2].[نام مشتری].[All]" allUniqueName="[invoice2].[نام مشتری].[All]" dimensionUniqueName="[invoice2]" displayFolder="" count="0" memberValueDatatype="130" unbalanced="0"/>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0" memberValueDatatype="130" unbalanced="0"/>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oneField="1">
      <fieldsUsage count="1">
        <fieldUsage x="0"/>
      </fieldsUsage>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oneField="1">
      <fieldsUsage count="1">
        <fieldUsage x="2"/>
      </fieldsUsage>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oneField="1">
      <fieldsUsage count="1">
        <fieldUsage x="1"/>
      </fieldsUsage>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oneField="1">
      <fieldsUsage count="1">
        <fieldUsage x="5"/>
      </fieldsUsage>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oneField="1">
      <fieldsUsage count="1">
        <fieldUsage x="4"/>
      </fieldsUsage>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oneField="1">
      <fieldsUsage count="1">
        <fieldUsage x="11"/>
      </fieldsUsage>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oneField="1">
      <fieldsUsage count="1">
        <fieldUsage x="6"/>
      </fieldsUsage>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oneField="1">
      <fieldsUsage count="1">
        <fieldUsage x="7"/>
      </fieldsUsage>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oneField="1">
      <fieldsUsage count="1">
        <fieldUsage x="8"/>
      </fieldsUsage>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oneField="1">
      <fieldsUsage count="1">
        <fieldUsage x="9"/>
      </fieldsUsage>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ies>
  <kpis count="0"/>
  <dimensions count="5">
    <dimension name="bargiri" uniqueName="[bargiri]" caption="bargiri"/>
    <dimension name="invoice" uniqueName="[invoice]" caption="invoice"/>
    <dimension name="invoice2" uniqueName="[invoice2]" caption="invoice2"/>
    <dimension measure="1" name="Measures" uniqueName="[Measures]" caption="Measures"/>
    <dimension name="Table1" uniqueName="[Table1]" caption="Table1"/>
  </dimensions>
  <measureGroups count="4">
    <measureGroup name="bargiri" caption="bargiri"/>
    <measureGroup name="invoice" caption="invoice"/>
    <measureGroup name="invoice2" caption="invoice2"/>
    <measureGroup name="Table1" caption="Table1"/>
  </measureGroups>
  <maps count="7">
    <map measureGroup="0" dimension="0"/>
    <map measureGroup="0" dimension="1"/>
    <map measureGroup="0" dimension="2"/>
    <map measureGroup="1" dimension="1"/>
    <map measureGroup="1" dimension="2"/>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87.412756134261" backgroundQuery="1" createdVersion="6" refreshedVersion="8" minRefreshableVersion="3" recordCount="0" supportSubquery="1" supportAdvancedDrill="1" xr:uid="{1E80DDDB-309E-4F03-B4B0-B20088E05AAA}">
  <cacheSource type="external" connectionId="12"/>
  <cacheFields count="12">
    <cacheField name="[Measures].[Sum of میزان بارگیری شده]" caption="Sum of میزان بارگیری شده" numFmtId="0" hierarchy="44" level="32767"/>
    <cacheField name="[Measures].[Average of فی 2]" caption="Average of فی 2" numFmtId="0" hierarchy="50" level="32767"/>
    <cacheField name="[Measures].[Sum of میزان سفارش]" caption="Sum of میزان سفارش" numFmtId="0" hierarchy="46" level="32767"/>
    <cacheField name="[invoice].[نام مشتری].[نام مشتری]" caption="نام مشتری" numFmtId="0" hierarchy="11" level="1">
      <sharedItems containsSemiMixedTypes="0" containsNonDate="0" containsString="0"/>
    </cacheField>
    <cacheField name="[Measures].[Count of شماره پیش فاکتور 2]" caption="Count of شماره پیش فاکتور 2" numFmtId="0" hierarchy="54" level="32767"/>
    <cacheField name="[Measures].[Distinct Count of نام مشتری]" caption="Distinct Count of نام مشتری" numFmtId="0" hierarchy="57" level="32767"/>
    <cacheField name="[Measures].[Count of شماره پیش فاکتور]" caption="Count of شماره پیش فاکتور" numFmtId="0" hierarchy="52" level="32767"/>
    <cacheField name="[Measures].[Average of میزان بارگیری شده]" caption="Average of میزان بارگیری شده" numFmtId="0" hierarchy="59" level="32767"/>
    <cacheField name="[Measures].[Average of میزان سفارش]" caption="Average of میزان سفارش" numFmtId="0" hierarchy="60" level="32767"/>
    <cacheField name="[Measures].[StdDev of میزان بارگیری شده]" caption="StdDev of میزان بارگیری شده" numFmtId="0" hierarchy="61" level="32767"/>
    <cacheField name="[Measures].[StdDevp of میزان سفارش]" caption="StdDevp of میزان سفارش" numFmtId="0" hierarchy="63" level="32767"/>
    <cacheField name="[invoice].[کمکی].[کمکی]" caption="کمکی" numFmtId="0" hierarchy="21" level="1">
      <sharedItems containsSemiMixedTypes="0" containsNonDate="0" containsString="0"/>
    </cacheField>
  </cacheFields>
  <cacheHierarchies count="77">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0" memberValueDatatype="20" unbalanced="0"/>
    <cacheHierarchy uniqueName="[bargiri].[ماه]" caption="ماه" attribute="1" defaultMemberUniqueName="[bargiri].[ماه].[All]" allUniqueName="[bargiri].[ماه].[All]" dimensionUniqueName="[bargiri]" displayFolder="" count="0" memberValueDatatype="130" unbalanced="0"/>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0" memberValueDatatype="130" unbalanced="0"/>
    <cacheHierarchy uniqueName="[invoice].[نام مشتری]" caption="نام مشتری" attribute="1" defaultMemberUniqueName="[invoice].[نام مشتری].[All]" allUniqueName="[invoice].[نام مشتری].[All]" dimensionUniqueName="[invoice]" displayFolder="" count="2" memberValueDatatype="130" unbalanced="0">
      <fieldsUsage count="2">
        <fieldUsage x="-1"/>
        <fieldUsage x="3"/>
      </fieldsUsage>
    </cacheHierarchy>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0" memberValueDatatype="130" unbalanced="0"/>
    <cacheHierarchy uniqueName="[invoice].[سال]" caption="سال" attribute="1" defaultMemberUniqueName="[invoice].[سال].[All]" allUniqueName="[invoice].[سال].[All]" dimensionUniqueName="[invoice]" displayFolder="" count="0" memberValueDatatype="20" unbalanced="0"/>
    <cacheHierarchy uniqueName="[invoice].[نوع سفارش]" caption="نوع سفارش" attribute="1" defaultMemberUniqueName="[invoice].[نوع سفارش].[All]" allUniqueName="[invoice].[نوع سفارش].[All]" dimensionUniqueName="[invoice]" displayFolder="" count="0" memberValueDatatype="130" unbalanced="0"/>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2" memberValueDatatype="20" unbalanced="0">
      <fieldsUsage count="2">
        <fieldUsage x="-1"/>
        <fieldUsage x="11"/>
      </fieldsUsage>
    </cacheHierarchy>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0" memberValueDatatype="130" unbalanced="0"/>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0" memberValueDatatype="130" unbalanced="0"/>
    <cacheHierarchy uniqueName="[invoice2].[نام مشتری]" caption="نام مشتری" attribute="1" defaultMemberUniqueName="[invoice2].[نام مشتری].[All]" allUniqueName="[invoice2].[نام مشتری].[All]" dimensionUniqueName="[invoice2]" displayFolder="" count="0" memberValueDatatype="130" unbalanced="0"/>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0" memberValueDatatype="130" unbalanced="0"/>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oneField="1">
      <fieldsUsage count="1">
        <fieldUsage x="0"/>
      </fieldsUsage>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oneField="1">
      <fieldsUsage count="1">
        <fieldUsage x="2"/>
      </fieldsUsage>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oneField="1">
      <fieldsUsage count="1">
        <fieldUsage x="1"/>
      </fieldsUsage>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oneField="1">
      <fieldsUsage count="1">
        <fieldUsage x="6"/>
      </fieldsUsage>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oneField="1">
      <fieldsUsage count="1">
        <fieldUsage x="4"/>
      </fieldsUsage>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oneField="1">
      <fieldsUsage count="1">
        <fieldUsage x="5"/>
      </fieldsUsage>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oneField="1">
      <fieldsUsage count="1">
        <fieldUsage x="7"/>
      </fieldsUsage>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oneField="1">
      <fieldsUsage count="1">
        <fieldUsage x="8"/>
      </fieldsUsage>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oneField="1">
      <fieldsUsage count="1">
        <fieldUsage x="9"/>
      </fieldsUsage>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oneField="1">
      <fieldsUsage count="1">
        <fieldUsage x="10"/>
      </fieldsUsage>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ies>
  <kpis count="0"/>
  <dimensions count="5">
    <dimension name="bargiri" uniqueName="[bargiri]" caption="bargiri"/>
    <dimension name="invoice" uniqueName="[invoice]" caption="invoice"/>
    <dimension name="invoice2" uniqueName="[invoice2]" caption="invoice2"/>
    <dimension measure="1" name="Measures" uniqueName="[Measures]" caption="Measures"/>
    <dimension name="Table1" uniqueName="[Table1]" caption="Table1"/>
  </dimensions>
  <measureGroups count="4">
    <measureGroup name="bargiri" caption="bargiri"/>
    <measureGroup name="invoice" caption="invoice"/>
    <measureGroup name="invoice2" caption="invoice2"/>
    <measureGroup name="Table1" caption="Table1"/>
  </measureGroups>
  <maps count="7">
    <map measureGroup="0" dimension="0"/>
    <map measureGroup="0" dimension="1"/>
    <map measureGroup="0" dimension="2"/>
    <map measureGroup="1" dimension="1"/>
    <map measureGroup="1" dimension="2"/>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87.412756944446" backgroundQuery="1" createdVersion="6" refreshedVersion="8" minRefreshableVersion="3" recordCount="0" supportSubquery="1" supportAdvancedDrill="1" xr:uid="{ACCF7665-BEE1-4097-B22C-7A7E9A32FDF7}">
  <cacheSource type="external" connectionId="12"/>
  <cacheFields count="6">
    <cacheField name="[invoice].[نام مشتری].[نام مشتری]" caption="نام مشتری" numFmtId="0" hierarchy="11" level="1">
      <sharedItems containsSemiMixedTypes="0" containsNonDate="0" containsString="0"/>
    </cacheField>
    <cacheField name="[bargiri].[ماه].[ماه]" caption="ماه" numFmtId="0" hierarchy="6" level="1">
      <sharedItems count="12">
        <s v="آبان"/>
        <s v="آذر"/>
        <s v="اردیبهشت"/>
        <s v="اسفند"/>
        <s v="بهمن"/>
        <s v="تیر"/>
        <s v="خرداد"/>
        <s v="دی"/>
        <s v="شهریور"/>
        <s v="فروردین"/>
        <s v="مرداد"/>
        <s v="مهر"/>
      </sharedItems>
    </cacheField>
    <cacheField name="[Measures].[Sum of میزان سفارش]" caption="Sum of میزان سفارش" numFmtId="0" hierarchy="46" level="32767"/>
    <cacheField name="[invoice].[ماه].[ماه]" caption="ماه" numFmtId="0" hierarchy="16" level="1">
      <sharedItems count="12">
        <s v="آبان"/>
        <s v="آذر"/>
        <s v="اردیبهشت"/>
        <s v="اسفند"/>
        <s v="بهمن"/>
        <s v="تیر"/>
        <s v="خرداد"/>
        <s v="دی"/>
        <s v="شهریور"/>
        <s v="فروردین"/>
        <s v="مرداد"/>
        <s v="مهر"/>
      </sharedItems>
      <extLst>
        <ext xmlns:x15="http://schemas.microsoft.com/office/spreadsheetml/2010/11/main" uri="{4F2E5C28-24EA-4eb8-9CBF-B6C8F9C3D259}">
          <x15:cachedUniqueNames>
            <x15:cachedUniqueName index="0" name="[invoice].[ماه].&amp;[آبان]"/>
            <x15:cachedUniqueName index="1" name="[invoice].[ماه].&amp;[آذر]"/>
            <x15:cachedUniqueName index="2" name="[invoice].[ماه].&amp;[اردیبهشت]"/>
            <x15:cachedUniqueName index="3" name="[invoice].[ماه].&amp;[اسفند]"/>
            <x15:cachedUniqueName index="4" name="[invoice].[ماه].&amp;[بهمن]"/>
            <x15:cachedUniqueName index="5" name="[invoice].[ماه].&amp;[تیر]"/>
            <x15:cachedUniqueName index="6" name="[invoice].[ماه].&amp;[خرداد]"/>
            <x15:cachedUniqueName index="7" name="[invoice].[ماه].&amp;[دی]"/>
            <x15:cachedUniqueName index="8" name="[invoice].[ماه].&amp;[شهریور]"/>
            <x15:cachedUniqueName index="9" name="[invoice].[ماه].&amp;[فروردین]"/>
            <x15:cachedUniqueName index="10" name="[invoice].[ماه].&amp;[مرداد]"/>
            <x15:cachedUniqueName index="11" name="[invoice].[ماه].&amp;[مهر]"/>
          </x15:cachedUniqueNames>
        </ext>
      </extLst>
    </cacheField>
    <cacheField name="[Measures].[Count of شماره پیش فاکتور 2]" caption="Count of شماره پیش فاکتور 2" numFmtId="0" hierarchy="54" level="32767"/>
    <cacheField name="[bargiri].[سال].[سال]" caption="سال" numFmtId="0" hierarchy="5" level="1">
      <sharedItems containsSemiMixedTypes="0" containsNonDate="0" containsString="0"/>
    </cacheField>
  </cacheFields>
  <cacheHierarchies count="77">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2" memberValueDatatype="20" unbalanced="0">
      <fieldsUsage count="2">
        <fieldUsage x="-1"/>
        <fieldUsage x="5"/>
      </fieldsUsage>
    </cacheHierarchy>
    <cacheHierarchy uniqueName="[bargiri].[ماه]" caption="ماه" attribute="1" defaultMemberUniqueName="[bargiri].[ماه].[All]" allUniqueName="[bargiri].[ماه].[All]" dimensionUniqueName="[bargiri]" displayFolder="" count="2" memberValueDatatype="130" unbalanced="0">
      <fieldsUsage count="2">
        <fieldUsage x="-1"/>
        <fieldUsage x="1"/>
      </fieldsUsage>
    </cacheHierarchy>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0" memberValueDatatype="130" unbalanced="0"/>
    <cacheHierarchy uniqueName="[invoice].[نام مشتری]" caption="نام مشتری" attribute="1" defaultMemberUniqueName="[invoice].[نام مشتری].[All]" allUniqueName="[invoice].[نام مشتری].[All]" dimensionUniqueName="[invoice]" displayFolder="" count="2" memberValueDatatype="130" unbalanced="0">
      <fieldsUsage count="2">
        <fieldUsage x="-1"/>
        <fieldUsage x="0"/>
      </fieldsUsage>
    </cacheHierarchy>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2" memberValueDatatype="130" unbalanced="0">
      <fieldsUsage count="2">
        <fieldUsage x="-1"/>
        <fieldUsage x="3"/>
      </fieldsUsage>
    </cacheHierarchy>
    <cacheHierarchy uniqueName="[invoice].[سال]" caption="سال" attribute="1" defaultMemberUniqueName="[invoice].[سال].[All]" allUniqueName="[invoice].[سال].[All]" dimensionUniqueName="[invoice]" displayFolder="" count="0" memberValueDatatype="20" unbalanced="0"/>
    <cacheHierarchy uniqueName="[invoice].[نوع سفارش]" caption="نوع سفارش" attribute="1" defaultMemberUniqueName="[invoice].[نوع سفارش].[All]" allUniqueName="[invoice].[نوع سفارش].[All]" dimensionUniqueName="[invoice]" displayFolder="" count="0" memberValueDatatype="130" unbalanced="0"/>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0" memberValueDatatype="20" unbalanced="0"/>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0" memberValueDatatype="130" unbalanced="0"/>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0" memberValueDatatype="130" unbalanced="0"/>
    <cacheHierarchy uniqueName="[invoice2].[نام مشتری]" caption="نام مشتری" attribute="1" defaultMemberUniqueName="[invoice2].[نام مشتری].[All]" allUniqueName="[invoice2].[نام مشتری].[All]" dimensionUniqueName="[invoice2]" displayFolder="" count="0" memberValueDatatype="130" unbalanced="0"/>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0" memberValueDatatype="130" unbalanced="0"/>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oneField="1">
      <fieldsUsage count="1">
        <fieldUsage x="2"/>
      </fieldsUsage>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oneField="1">
      <fieldsUsage count="1">
        <fieldUsage x="4"/>
      </fieldsUsage>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ies>
  <kpis count="0"/>
  <dimensions count="5">
    <dimension name="bargiri" uniqueName="[bargiri]" caption="bargiri"/>
    <dimension name="invoice" uniqueName="[invoice]" caption="invoice"/>
    <dimension name="invoice2" uniqueName="[invoice2]" caption="invoice2"/>
    <dimension measure="1" name="Measures" uniqueName="[Measures]" caption="Measures"/>
    <dimension name="Table1" uniqueName="[Table1]" caption="Table1"/>
  </dimensions>
  <measureGroups count="4">
    <measureGroup name="bargiri" caption="bargiri"/>
    <measureGroup name="invoice" caption="invoice"/>
    <measureGroup name="invoice2" caption="invoice2"/>
    <measureGroup name="Table1" caption="Table1"/>
  </measureGroups>
  <maps count="7">
    <map measureGroup="0" dimension="0"/>
    <map measureGroup="0" dimension="1"/>
    <map measureGroup="0" dimension="2"/>
    <map measureGroup="1" dimension="1"/>
    <map measureGroup="1" dimension="2"/>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87.41275787037" backgroundQuery="1" createdVersion="6" refreshedVersion="8" minRefreshableVersion="3" recordCount="0" supportSubquery="1" supportAdvancedDrill="1" xr:uid="{8D26D0D7-E1CD-4B91-97E1-4B6D89F7F609}">
  <cacheSource type="external" connectionId="12"/>
  <cacheFields count="8">
    <cacheField name="[Measures].[Sum of میزان بارگیری شده]" caption="Sum of میزان بارگیری شده" numFmtId="0" hierarchy="44" level="32767"/>
    <cacheField name="[Measures].[Average of فی 2]" caption="Average of فی 2" numFmtId="0" hierarchy="50" level="32767"/>
    <cacheField name="[Measures].[Sum of میزان سفارش]" caption="Sum of میزان سفارش" numFmtId="0" hierarchy="46" level="32767"/>
    <cacheField name="[invoice].[نام مشتری].[نام مشتری]" caption="نام مشتری" numFmtId="0" hierarchy="11" level="1">
      <sharedItems count="30">
        <s v="آیس کار"/>
        <s v="اکسیژن ارومیه گاز"/>
        <s v="پارس اکسیر البرز شمالی"/>
        <s v="پارس کربنیک کردستان"/>
        <s v="پاینده ساز فردوس"/>
        <s v="تعاونی ماهان گاز"/>
        <s v="تولید گازهای طبی و صنعتی مددکاران اصفهان"/>
        <s v="تولیدی گازهای طبی و صنعتی طوس سبزوار"/>
        <s v="جوش شیرین خراسان"/>
        <s v="خوش نوش همدان"/>
        <s v="رایا شیمی پارسیان"/>
        <s v="رهام گاز"/>
        <s v="سپهر سرمد"/>
        <s v="سهیل گاز کاسپین"/>
        <s v="شرکت امین گاز ایرانیان"/>
        <s v="شرکت دیبا گاز پارسه"/>
        <s v="شرکت گروه صنعتی پاژ گاز خراسان"/>
        <s v="طاها اندیشان همپای البرز"/>
        <s v="طاهر افروز همپای البرز"/>
        <s v="طوس قزوین"/>
        <s v="عبیر شیمی"/>
        <s v="عراق اربیل"/>
        <s v="فرافن گاز تهران"/>
        <s v="کوشا تجارت زاگرس"/>
        <s v="گاز اکسیژن طوس"/>
        <s v="گاز کربنیک غرب"/>
        <s v="گروه صنایع شیمیایی به آفرین گاز تیسفون"/>
        <s v="ماشین سازی پیشتازان گاز کربنیک اردستان"/>
        <s v="محمود احمدی زلتی"/>
        <s v="میثاق گاز فراز کرج"/>
      </sharedItems>
      <extLst>
        <ext xmlns:x15="http://schemas.microsoft.com/office/spreadsheetml/2010/11/main" uri="{4F2E5C28-24EA-4eb8-9CBF-B6C8F9C3D259}">
          <x15:cachedUniqueNames>
            <x15:cachedUniqueName index="0" name="[invoice].[نام مشتری].&amp;[آیس کار]"/>
            <x15:cachedUniqueName index="1" name="[invoice].[نام مشتری].&amp;[اکسیژن ارومیه گاز]"/>
            <x15:cachedUniqueName index="2" name="[invoice].[نام مشتری].&amp;[پارس اکسیر البرز شمالی]"/>
            <x15:cachedUniqueName index="3" name="[invoice].[نام مشتری].&amp;[پارس کربنیک کردستان]"/>
            <x15:cachedUniqueName index="4" name="[invoice].[نام مشتری].&amp;[پاینده ساز فردوس]"/>
            <x15:cachedUniqueName index="5" name="[invoice].[نام مشتری].&amp;[تعاونی ماهان گاز]"/>
            <x15:cachedUniqueName index="6" name="[invoice].[نام مشتری].&amp;[تولید گازهای طبی و صنعتی مددکاران اصفهان]"/>
            <x15:cachedUniqueName index="7" name="[invoice].[نام مشتری].&amp;[تولیدی گازهای طبی و صنعتی طوس سبزوار]"/>
            <x15:cachedUniqueName index="8" name="[invoice].[نام مشتری].&amp;[جوش شیرین خراسان]"/>
            <x15:cachedUniqueName index="9" name="[invoice].[نام مشتری].&amp;[خوش نوش همدان]"/>
            <x15:cachedUniqueName index="10" name="[invoice].[نام مشتری].&amp;[رایا شیمی پارسیان]"/>
            <x15:cachedUniqueName index="11" name="[invoice].[نام مشتری].&amp;[رهام گاز]"/>
            <x15:cachedUniqueName index="12" name="[invoice].[نام مشتری].&amp;[سپهر سرمد]"/>
            <x15:cachedUniqueName index="13" name="[invoice].[نام مشتری].&amp;[سهیل گاز کاسپین]"/>
            <x15:cachedUniqueName index="14" name="[invoice].[نام مشتری].&amp;[شرکت امین گاز ایرانیان]"/>
            <x15:cachedUniqueName index="15" name="[invoice].[نام مشتری].&amp;[شرکت دیبا گاز پارسه]"/>
            <x15:cachedUniqueName index="16" name="[invoice].[نام مشتری].&amp;[شرکت گروه صنعتی پاژ گاز خراسان]"/>
            <x15:cachedUniqueName index="17" name="[invoice].[نام مشتری].&amp;[طاها اندیشان همپای البرز]"/>
            <x15:cachedUniqueName index="18" name="[invoice].[نام مشتری].&amp;[طاهر افروز همپای البرز]"/>
            <x15:cachedUniqueName index="19" name="[invoice].[نام مشتری].&amp;[طوس قزوین]"/>
            <x15:cachedUniqueName index="20" name="[invoice].[نام مشتری].&amp;[عبیر شیمی]"/>
            <x15:cachedUniqueName index="21" name="[invoice].[نام مشتری].&amp;[عراق اربیل]"/>
            <x15:cachedUniqueName index="22" name="[invoice].[نام مشتری].&amp;[فرافن گاز تهران]"/>
            <x15:cachedUniqueName index="23" name="[invoice].[نام مشتری].&amp;[کوشا تجارت زاگرس]"/>
            <x15:cachedUniqueName index="24" name="[invoice].[نام مشتری].&amp;[گاز اکسیژن طوس]"/>
            <x15:cachedUniqueName index="25" name="[invoice].[نام مشتری].&amp;[گاز کربنیک غرب]"/>
            <x15:cachedUniqueName index="26" name="[invoice].[نام مشتری].&amp;[گروه صنایع شیمیایی به آفرین گاز تیسفون]"/>
            <x15:cachedUniqueName index="27" name="[invoice].[نام مشتری].&amp;[ماشین سازی پیشتازان گاز کربنیک اردستان]"/>
            <x15:cachedUniqueName index="28" name="[invoice].[نام مشتری].&amp;[محمود احمدی زلتی]"/>
            <x15:cachedUniqueName index="29" name="[invoice].[نام مشتری].&amp;[میثاق گاز فراز کرج]"/>
          </x15:cachedUniqueNames>
        </ext>
      </extLst>
    </cacheField>
    <cacheField name="[Measures].[Count of شماره پیش فاکتور 2]" caption="Count of شماره پیش فاکتور 2" numFmtId="0" hierarchy="54" level="32767"/>
    <cacheField name="[Measures].[Count of شماره پیش فاکتور]" caption="Count of شماره پیش فاکتور" numFmtId="0" hierarchy="52" level="32767"/>
    <cacheField name="[bargiri].[سال].[سال]" caption="سال" numFmtId="0" hierarchy="5" level="1">
      <sharedItems containsSemiMixedTypes="0" containsNonDate="0" containsString="0"/>
    </cacheField>
    <cacheField name="Dummy0" numFmtId="0" hierarchy="77" level="32767">
      <extLst>
        <ext xmlns:x14="http://schemas.microsoft.com/office/spreadsheetml/2009/9/main" uri="{63CAB8AC-B538-458d-9737-405883B0398D}">
          <x14:cacheField ignore="1"/>
        </ext>
      </extLst>
    </cacheField>
  </cacheFields>
  <cacheHierarchies count="78">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2" memberValueDatatype="20" unbalanced="0">
      <fieldsUsage count="2">
        <fieldUsage x="-1"/>
        <fieldUsage x="6"/>
      </fieldsUsage>
    </cacheHierarchy>
    <cacheHierarchy uniqueName="[bargiri].[ماه]" caption="ماه" attribute="1" defaultMemberUniqueName="[bargiri].[ماه].[All]" allUniqueName="[bargiri].[ماه].[All]" dimensionUniqueName="[bargiri]" displayFolder="" count="0" memberValueDatatype="130" unbalanced="0"/>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0" memberValueDatatype="130" unbalanced="0"/>
    <cacheHierarchy uniqueName="[invoice].[نام مشتری]" caption="نام مشتری" attribute="1" defaultMemberUniqueName="[invoice].[نام مشتری].[All]" allUniqueName="[invoice].[نام مشتری].[All]" dimensionUniqueName="[invoice]" displayFolder="" count="2" memberValueDatatype="130" unbalanced="0">
      <fieldsUsage count="2">
        <fieldUsage x="-1"/>
        <fieldUsage x="3"/>
      </fieldsUsage>
    </cacheHierarchy>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0" memberValueDatatype="130" unbalanced="0"/>
    <cacheHierarchy uniqueName="[invoice].[سال]" caption="سال" attribute="1" defaultMemberUniqueName="[invoice].[سال].[All]" allUniqueName="[invoice].[سال].[All]" dimensionUniqueName="[invoice]" displayFolder="" count="0" memberValueDatatype="20" unbalanced="0"/>
    <cacheHierarchy uniqueName="[invoice].[نوع سفارش]" caption="نوع سفارش" attribute="1" defaultMemberUniqueName="[invoice].[نوع سفارش].[All]" allUniqueName="[invoice].[نوع سفارش].[All]" dimensionUniqueName="[invoice]" displayFolder="" count="0" memberValueDatatype="130" unbalanced="0"/>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0" memberValueDatatype="20" unbalanced="0"/>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0" memberValueDatatype="130" unbalanced="0"/>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0" memberValueDatatype="130" unbalanced="0"/>
    <cacheHierarchy uniqueName="[invoice2].[نام مشتری]" caption="نام مشتری" attribute="1" defaultMemberUniqueName="[invoice2].[نام مشتری].[All]" allUniqueName="[invoice2].[نام مشتری].[All]" dimensionUniqueName="[invoice2]" displayFolder="" count="0" memberValueDatatype="130" unbalanced="0"/>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0" memberValueDatatype="130" unbalanced="0"/>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oneField="1">
      <fieldsUsage count="1">
        <fieldUsage x="0"/>
      </fieldsUsage>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oneField="1">
      <fieldsUsage count="1">
        <fieldUsage x="2"/>
      </fieldsUsage>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oneField="1">
      <fieldsUsage count="1">
        <fieldUsage x="1"/>
      </fieldsUsage>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oneField="1">
      <fieldsUsage count="1">
        <fieldUsage x="5"/>
      </fieldsUsage>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oneField="1">
      <fieldsUsage count="1">
        <fieldUsage x="4"/>
      </fieldsUsage>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y uniqueName="Dummy0" caption="تاریخ بارگیری" measure="1" count="0">
      <extLst>
        <ext xmlns:x14="http://schemas.microsoft.com/office/spreadsheetml/2009/9/main" uri="{8CF416AD-EC4C-4aba-99F5-12A058AE0983}">
          <x14:cacheHierarchy ignore="1"/>
        </ext>
      </extLst>
    </cacheHierarchy>
  </cacheHierarchies>
  <kpis count="0"/>
  <dimensions count="5">
    <dimension name="bargiri" uniqueName="[bargiri]" caption="bargiri"/>
    <dimension name="invoice" uniqueName="[invoice]" caption="invoice"/>
    <dimension name="invoice2" uniqueName="[invoice2]" caption="invoice2"/>
    <dimension measure="1" name="Measures" uniqueName="[Measures]" caption="Measures"/>
    <dimension name="Table1" uniqueName="[Table1]" caption="Table1"/>
  </dimensions>
  <measureGroups count="4">
    <measureGroup name="bargiri" caption="bargiri"/>
    <measureGroup name="invoice" caption="invoice"/>
    <measureGroup name="invoice2" caption="invoice2"/>
    <measureGroup name="Table1" caption="Table1"/>
  </measureGroups>
  <maps count="7">
    <map measureGroup="0" dimension="0"/>
    <map measureGroup="0" dimension="1"/>
    <map measureGroup="0" dimension="2"/>
    <map measureGroup="1" dimension="1"/>
    <map measureGroup="1" dimension="2"/>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kram Faraji" refreshedDate="45887.412759027779" backgroundQuery="1" createdVersion="6" refreshedVersion="8" minRefreshableVersion="3" recordCount="0" supportSubquery="1" supportAdvancedDrill="1" xr:uid="{B638EDCB-CF54-4428-944C-3067DC353D74}">
  <cacheSource type="external" connectionId="12"/>
  <cacheFields count="5">
    <cacheField name="[Measures].[Sum of میزان بارگیری شده]" caption="Sum of میزان بارگیری شده" numFmtId="0" hierarchy="44" level="32767"/>
    <cacheField name="[invoice].[نام مشتری].[نام مشتری]" caption="نام مشتری" numFmtId="0" hierarchy="11" level="1">
      <sharedItems containsSemiMixedTypes="0" containsNonDate="0" containsString="0"/>
    </cacheField>
    <cacheField name="[Measures].[Count of شماره پیش فاکتور]" caption="Count of شماره پیش فاکتور" numFmtId="0" hierarchy="52" level="32767"/>
    <cacheField name="[bargiri].[ماه].[ماه]" caption="ماه" numFmtId="0" hierarchy="6" level="1">
      <sharedItems count="12">
        <s v="آبان"/>
        <s v="آذر"/>
        <s v="اردیبهشت"/>
        <s v="اسفند"/>
        <s v="بهمن"/>
        <s v="تیر"/>
        <s v="خرداد"/>
        <s v="دی"/>
        <s v="شهریور"/>
        <s v="فروردین"/>
        <s v="مرداد"/>
        <s v="مهر"/>
      </sharedItems>
      <extLst>
        <ext xmlns:x15="http://schemas.microsoft.com/office/spreadsheetml/2010/11/main" uri="{4F2E5C28-24EA-4eb8-9CBF-B6C8F9C3D259}">
          <x15:cachedUniqueNames>
            <x15:cachedUniqueName index="0" name="[bargiri].[ماه].&amp;[آبان]"/>
            <x15:cachedUniqueName index="1" name="[bargiri].[ماه].&amp;[آذر]"/>
            <x15:cachedUniqueName index="2" name="[bargiri].[ماه].&amp;[اردیبهشت]"/>
            <x15:cachedUniqueName index="3" name="[bargiri].[ماه].&amp;[اسفند]"/>
            <x15:cachedUniqueName index="4" name="[bargiri].[ماه].&amp;[بهمن]"/>
            <x15:cachedUniqueName index="5" name="[bargiri].[ماه].&amp;[تیر]"/>
            <x15:cachedUniqueName index="6" name="[bargiri].[ماه].&amp;[خرداد]"/>
            <x15:cachedUniqueName index="7" name="[bargiri].[ماه].&amp;[دی]"/>
            <x15:cachedUniqueName index="8" name="[bargiri].[ماه].&amp;[شهریور]"/>
            <x15:cachedUniqueName index="9" name="[bargiri].[ماه].&amp;[فروردین]"/>
            <x15:cachedUniqueName index="10" name="[bargiri].[ماه].&amp;[مرداد]"/>
            <x15:cachedUniqueName index="11" name="[bargiri].[ماه].&amp;[مهر]"/>
          </x15:cachedUniqueNames>
        </ext>
      </extLst>
    </cacheField>
    <cacheField name="[bargiri].[سال].[سال]" caption="سال" numFmtId="0" hierarchy="5" level="1">
      <sharedItems containsNonDate="0" containsMixedTypes="1" containsNumber="1" containsInteger="1" minValue="1403" maxValue="1404" count="3">
        <n v="1403"/>
        <n v="1404"/>
        <s v="1404" u="1"/>
      </sharedItems>
      <extLst>
        <ext xmlns:x15="http://schemas.microsoft.com/office/spreadsheetml/2010/11/main" uri="{4F2E5C28-24EA-4eb8-9CBF-B6C8F9C3D259}">
          <x15:cachedUniqueNames>
            <x15:cachedUniqueName index="0" name="[bargiri].[سال].&amp;[1403]"/>
            <x15:cachedUniqueName index="1" name="[bargiri].[سال].&amp;[1404]"/>
          </x15:cachedUniqueNames>
        </ext>
      </extLst>
    </cacheField>
  </cacheFields>
  <cacheHierarchies count="77">
    <cacheHierarchy uniqueName="[bargiri].[تاریخ بارگیری]" caption="تاریخ بارگیری" attribute="1" defaultMemberUniqueName="[bargiri].[تاریخ بارگیری].[All]" allUniqueName="[bargiri].[تاریخ بارگیری].[All]" dimensionUniqueName="[bargiri]" displayFolder="" count="0" memberValueDatatype="130" unbalanced="0"/>
    <cacheHierarchy uniqueName="[bargiri].[نام مشتری]" caption="نام مشتری" attribute="1" defaultMemberUniqueName="[bargiri].[نام مشتری].[All]" allUniqueName="[bargiri].[نام مشتری].[All]" dimensionUniqueName="[bargiri]" displayFolder="" count="0" memberValueDatatype="130" unbalanced="0"/>
    <cacheHierarchy uniqueName="[bargiri].[شماره پیش فاکتور]" caption="شماره پیش فاکتور" attribute="1" defaultMemberUniqueName="[bargiri].[شماره پیش فاکتور].[All]" allUniqueName="[bargiri].[شماره پیش فاکتور].[All]" dimensionUniqueName="[bargiri]" displayFolder="" count="0" memberValueDatatype="130" unbalanced="0"/>
    <cacheHierarchy uniqueName="[bargiri].[میزان بارگیری شده]" caption="میزان بارگیری شده" attribute="1" defaultMemberUniqueName="[bargiri].[میزان بارگیری شده].[All]" allUniqueName="[bargiri].[میزان بارگیری شده].[All]" dimensionUniqueName="[bargiri]" displayFolder="" count="0" memberValueDatatype="20" unbalanced="0"/>
    <cacheHierarchy uniqueName="[bargiri].[فی]" caption="فی" attribute="1" defaultMemberUniqueName="[bargiri].[فی].[All]" allUniqueName="[bargiri].[فی].[All]" dimensionUniqueName="[bargiri]" displayFolder="" count="0" memberValueDatatype="20" unbalanced="0"/>
    <cacheHierarchy uniqueName="[bargiri].[سال]" caption="سال" attribute="1" defaultMemberUniqueName="[bargiri].[سال].[All]" allUniqueName="[bargiri].[سال].[All]" dimensionUniqueName="[bargiri]" displayFolder="" count="2" memberValueDatatype="20" unbalanced="0">
      <fieldsUsage count="2">
        <fieldUsage x="-1"/>
        <fieldUsage x="4"/>
      </fieldsUsage>
    </cacheHierarchy>
    <cacheHierarchy uniqueName="[bargiri].[ماه]" caption="ماه" attribute="1" defaultMemberUniqueName="[bargiri].[ماه].[All]" allUniqueName="[bargiri].[ماه].[All]" dimensionUniqueName="[bargiri]" displayFolder="" count="2" memberValueDatatype="130" unbalanced="0">
      <fieldsUsage count="2">
        <fieldUsage x="-1"/>
        <fieldUsage x="3"/>
      </fieldsUsage>
    </cacheHierarchy>
    <cacheHierarchy uniqueName="[bargiri].[قیمت کل بار]" caption="قیمت کل بار" attribute="1" defaultMemberUniqueName="[bargiri].[قیمت کل بار].[All]" allUniqueName="[bargiri].[قیمت کل بار].[All]" dimensionUniqueName="[bargiri]" displayFolder="" count="0" memberValueDatatype="5" unbalanced="0"/>
    <cacheHierarchy uniqueName="[bargiri].[کمکی2]" caption="کمکی2" attribute="1" defaultMemberUniqueName="[bargiri].[کمکی2].[All]" allUniqueName="[bargiri].[کمکی2].[All]" dimensionUniqueName="[bargiri]" displayFolder="" count="0" memberValueDatatype="20" unbalanced="0"/>
    <cacheHierarchy uniqueName="[bargiri].[LoadingAfter1403_Column]" caption="LoadingAfter1403_Column" attribute="1" defaultMemberUniqueName="[bargiri].[LoadingAfter1403_Column].[All]" allUniqueName="[bargiri].[LoadingAfter1403_Column].[All]" dimensionUniqueName="[bargiri]" displayFolder="" count="0" memberValueDatatype="130" unbalanced="0"/>
    <cacheHierarchy uniqueName="[invoice].[شماره پیش فاکتور]" caption="شماره پیش فاکتور" attribute="1" defaultMemberUniqueName="[invoice].[شماره پیش فاکتور].[All]" allUniqueName="[invoice].[شماره پیش فاکتور].[All]" dimensionUniqueName="[invoice]" displayFolder="" count="0" memberValueDatatype="130" unbalanced="0"/>
    <cacheHierarchy uniqueName="[invoice].[نام مشتری]" caption="نام مشتری" attribute="1" defaultMemberUniqueName="[invoice].[نام مشتری].[All]" allUniqueName="[invoice].[نام مشتری].[All]" dimensionUniqueName="[invoice]" displayFolder="" count="2" memberValueDatatype="130" unbalanced="0">
      <fieldsUsage count="2">
        <fieldUsage x="-1"/>
        <fieldUsage x="1"/>
      </fieldsUsage>
    </cacheHierarchy>
    <cacheHierarchy uniqueName="[invoice].[تاریخ]" caption="تاریخ" attribute="1" defaultMemberUniqueName="[invoice].[تاریخ].[All]" allUniqueName="[invoice].[تاریخ].[All]" dimensionUniqueName="[invoice]" displayFolder="" count="0" memberValueDatatype="130" unbalanced="0"/>
    <cacheHierarchy uniqueName="[invoice].[تاریخ مجوز بهره برداری]" caption="تاریخ مجوز بهره برداری" attribute="1" defaultMemberUniqueName="[invoice].[تاریخ مجوز بهره برداری].[All]" allUniqueName="[invoice].[تاریخ مجوز بهره برداری].[All]" dimensionUniqueName="[invoice]" displayFolder="" count="0" memberValueDatatype="130" unbalanced="0"/>
    <cacheHierarchy uniqueName="[invoice].[میزان سفارش]" caption="میزان سفارش" attribute="1" defaultMemberUniqueName="[invoice].[میزان سفارش].[All]" allUniqueName="[invoice].[میزان سفارش].[All]" dimensionUniqueName="[invoice]" displayFolder="" count="0" memberValueDatatype="20" unbalanced="0"/>
    <cacheHierarchy uniqueName="[invoice].[فی]" caption="فی" attribute="1" defaultMemberUniqueName="[invoice].[فی].[All]" allUniqueName="[invoice].[فی].[All]" dimensionUniqueName="[invoice]" displayFolder="" count="0" memberValueDatatype="20" unbalanced="0"/>
    <cacheHierarchy uniqueName="[invoice].[ماه]" caption="ماه" attribute="1" defaultMemberUniqueName="[invoice].[ماه].[All]" allUniqueName="[invoice].[ماه].[All]" dimensionUniqueName="[invoice]" displayFolder="" count="0" memberValueDatatype="130" unbalanced="0"/>
    <cacheHierarchy uniqueName="[invoice].[سال]" caption="سال" attribute="1" defaultMemberUniqueName="[invoice].[سال].[All]" allUniqueName="[invoice].[سال].[All]" dimensionUniqueName="[invoice]" displayFolder="" count="0" memberValueDatatype="20" unbalanced="0"/>
    <cacheHierarchy uniqueName="[invoice].[نوع سفارش]" caption="نوع سفارش" attribute="1" defaultMemberUniqueName="[invoice].[نوع سفارش].[All]" allUniqueName="[invoice].[نوع سفارش].[All]" dimensionUniqueName="[invoice]" displayFolder="" count="0" memberValueDatatype="130" unbalanced="0"/>
    <cacheHierarchy uniqueName="[invoice].[نوع شرکت]" caption="نوع شرکت" attribute="1" defaultMemberUniqueName="[invoice].[نوع شرکت].[All]" allUniqueName="[invoice].[نوع شرکت].[All]" dimensionUniqueName="[invoice]" displayFolder="" count="0" memberValueDatatype="130" unbalanced="0"/>
    <cacheHierarchy uniqueName="[invoice].[تاریخ انقضا]" caption="تاریخ انقضا" attribute="1" defaultMemberUniqueName="[invoice].[تاریخ انقضا].[All]" allUniqueName="[invoice].[تاریخ انقضا].[All]" dimensionUniqueName="[invoice]" displayFolder="" count="0" memberValueDatatype="130" unbalanced="0"/>
    <cacheHierarchy uniqueName="[invoice].[کمکی]" caption="کمکی" attribute="1" defaultMemberUniqueName="[invoice].[کمکی].[All]" allUniqueName="[invoice].[کمکی].[All]" dimensionUniqueName="[invoice]" displayFolder="" count="0" memberValueDatatype="20" unbalanced="0"/>
    <cacheHierarchy uniqueName="[invoice].[درصد مبلغ پیش دریافت]" caption="درصد مبلغ پیش دریافت" attribute="1" defaultMemberUniqueName="[invoice].[درصد مبلغ پیش دریافت].[All]" allUniqueName="[invoice].[درصد مبلغ پیش دریافت].[All]" dimensionUniqueName="[invoice]" displayFolder="" count="0" memberValueDatatype="130" unbalanced="0"/>
    <cacheHierarchy uniqueName="[invoice].[ارزش افزوده]" caption="ارزش افزوده" attribute="1" defaultMemberUniqueName="[invoice].[ارزش افزوده].[All]" allUniqueName="[invoice].[ارزش افزوده].[All]" dimensionUniqueName="[invoice]" displayFolder="" count="0" memberValueDatatype="130" unbalanced="0"/>
    <cacheHierarchy uniqueName="[invoice].[درصد میزان بارگیری شده]" caption="درصد میزان بارگیری شده" attribute="1" defaultMemberUniqueName="[invoice].[درصد میزان بارگیری شده].[All]" allUniqueName="[invoice].[درصد میزان بارگیری شده].[All]" dimensionUniqueName="[invoice]" displayFolder="" count="0" memberValueDatatype="5" unbalanced="0"/>
    <cacheHierarchy uniqueName="[invoice].[Calculated Column 1]" caption="Calculated Column 1" attribute="1" defaultMemberUniqueName="[invoice].[Calculated Column 1].[All]" allUniqueName="[invoice].[Calculated Column 1].[All]" dimensionUniqueName="[invoice]" displayFolder="" count="0" memberValueDatatype="130" unbalanced="0"/>
    <cacheHierarchy uniqueName="[invoice2].[شماره پیش فاکتور]" caption="شماره پیش فاکتور" attribute="1" defaultMemberUniqueName="[invoice2].[شماره پیش فاکتور].[All]" allUniqueName="[invoice2].[شماره پیش فاکتور].[All]" dimensionUniqueName="[invoice2]" displayFolder="" count="0" memberValueDatatype="130" unbalanced="0"/>
    <cacheHierarchy uniqueName="[invoice2].[نام مشتری]" caption="نام مشتری" attribute="1" defaultMemberUniqueName="[invoice2].[نام مشتری].[All]" allUniqueName="[invoice2].[نام مشتری].[All]" dimensionUniqueName="[invoice2]" displayFolder="" count="0" memberValueDatatype="130" unbalanced="0"/>
    <cacheHierarchy uniqueName="[invoice2].[تاریخ]" caption="تاریخ" attribute="1" defaultMemberUniqueName="[invoice2].[تاریخ].[All]" allUniqueName="[invoice2].[تاریخ].[All]" dimensionUniqueName="[invoice2]" displayFolder="" count="0" memberValueDatatype="130" unbalanced="0"/>
    <cacheHierarchy uniqueName="[invoice2].[تاریخ مجوز بهره برداری]" caption="تاریخ مجوز بهره برداری" attribute="1" defaultMemberUniqueName="[invoice2].[تاریخ مجوز بهره برداری].[All]" allUniqueName="[invoice2].[تاریخ مجوز بهره برداری].[All]" dimensionUniqueName="[invoice2]" displayFolder="" count="0" memberValueDatatype="130" unbalanced="0"/>
    <cacheHierarchy uniqueName="[invoice2].[میزان سفارش]" caption="میزان سفارش" attribute="1" defaultMemberUniqueName="[invoice2].[میزان سفارش].[All]" allUniqueName="[invoice2].[میزان سفارش].[All]" dimensionUniqueName="[invoice2]" displayFolder="" count="0" memberValueDatatype="20" unbalanced="0"/>
    <cacheHierarchy uniqueName="[invoice2].[فی]" caption="فی" attribute="1" defaultMemberUniqueName="[invoice2].[فی].[All]" allUniqueName="[invoice2].[فی].[All]" dimensionUniqueName="[invoice2]" displayFolder="" count="0" memberValueDatatype="20" unbalanced="0"/>
    <cacheHierarchy uniqueName="[invoice2].[حمل شده]" caption="حمل شده" attribute="1" defaultMemberUniqueName="[invoice2].[حمل شده].[All]" allUniqueName="[invoice2].[حمل شده].[All]" dimensionUniqueName="[invoice2]" displayFolder="" count="0" memberValueDatatype="130" unbalanced="0"/>
    <cacheHierarchy uniqueName="[invoice2].[مانده]" caption="مانده" attribute="1" defaultMemberUniqueName="[invoice2].[مانده].[All]" allUniqueName="[invoice2].[مانده].[All]" dimensionUniqueName="[invoice2]" displayFolder="" count="0" memberValueDatatype="130" unbalanced="0"/>
    <cacheHierarchy uniqueName="[invoice2].[نوع]" caption="نوع" attribute="1" defaultMemberUniqueName="[invoice2].[نوع].[All]" allUniqueName="[invoice2].[نوع].[All]" dimensionUniqueName="[invoice2]" displayFolder="" count="0" memberValueDatatype="130" unbalanced="0"/>
    <cacheHierarchy uniqueName="[invoice2].[شش ماهه اول]" caption="شش ماهه اول" attribute="1" defaultMemberUniqueName="[invoice2].[شش ماهه اول].[All]" allUniqueName="[invoice2].[شش ماهه اول].[All]" dimensionUniqueName="[invoice2]" displayFolder="" count="0" memberValueDatatype="130" unbalanced="0"/>
    <cacheHierarchy uniqueName="[invoice2].[توزیع هفتگی]" caption="توزیع هفتگی" attribute="1" defaultMemberUniqueName="[invoice2].[توزیع هفتگی].[All]" allUniqueName="[invoice2].[توزیع هفتگی].[All]" dimensionUniqueName="[invoice2]" displayFolder="" count="0" memberValueDatatype="130" unbalanced="0"/>
    <cacheHierarchy uniqueName="[invoice2].[شش ماهه دوم]" caption="شش ماهه دوم" attribute="1" defaultMemberUniqueName="[invoice2].[شش ماهه دوم].[All]" allUniqueName="[invoice2].[شش ماهه دوم].[All]" dimensionUniqueName="[invoice2]" displayFolder="" count="0" memberValueDatatype="130" unbalanced="0"/>
    <cacheHierarchy uniqueName="[invoice2].[توزیع هفتگی2]" caption="توزیع هفتگی2" attribute="1" defaultMemberUniqueName="[invoice2].[توزیع هفتگی2].[All]" allUniqueName="[invoice2].[توزیع هفتگی2].[All]" dimensionUniqueName="[invoice2]" displayFolder="" count="0" memberValueDatatype="130" unbalanced="0"/>
    <cacheHierarchy uniqueName="[invoice2].[توضیحات]" caption="توضیحات" attribute="1" defaultMemberUniqueName="[invoice2].[توضیحات].[All]" allUniqueName="[invoice2].[توضیحات].[All]" dimensionUniqueName="[invoice2]" displayFolder="" count="0" memberValueDatatype="130" unbalanced="0"/>
    <cacheHierarchy uniqueName="[Table1].[Row Labels]" caption="Row Labels" attribute="1" defaultMemberUniqueName="[Table1].[Row Labels].[All]" allUniqueName="[Table1].[Row Labels].[All]" dimensionUniqueName="[Table1]" displayFolder="" count="0" memberValueDatatype="130" unbalanced="0"/>
    <cacheHierarchy uniqueName="[Table1].[Sum of فی 2]" caption="Sum of فی 2" attribute="1" defaultMemberUniqueName="[Table1].[Sum of فی 2].[All]" allUniqueName="[Table1].[Sum of فی 2].[All]" dimensionUniqueName="[Table1]" displayFolder="" count="0" memberValueDatatype="130" unbalanced="0"/>
    <cacheHierarchy uniqueName="[Table1].[Sum of میزان بارگیری شده]" caption="Sum of میزان بارگیری شده" attribute="1" defaultMemberUniqueName="[Table1].[Sum of میزان بارگیری شده].[All]" allUniqueName="[Table1].[Sum of میزان بارگیری شده].[All]" dimensionUniqueName="[Table1]" displayFolder="" count="0" memberValueDatatype="130" unbalanced="0"/>
    <cacheHierarchy uniqueName="[Table1].[مانده]" caption="مانده" attribute="1" defaultMemberUniqueName="[Table1].[مانده].[All]" allUniqueName="[Table1].[مانده].[All]" dimensionUniqueName="[Table1]" displayFolder="" count="0" memberValueDatatype="130" unbalanced="0"/>
    <cacheHierarchy uniqueName="[Measures].[Sum of میزان بارگیری شده]" caption="Sum of میزان بارگیری شده" measure="1" displayFolder="" measureGroup="bargiri" count="0" oneField="1">
      <fieldsUsage count="1">
        <fieldUsage x="0"/>
      </fieldsUsage>
      <extLst>
        <ext xmlns:x15="http://schemas.microsoft.com/office/spreadsheetml/2010/11/main" uri="{B97F6D7D-B522-45F9-BDA1-12C45D357490}">
          <x15:cacheHierarchy aggregatedColumn="3"/>
        </ext>
      </extLst>
    </cacheHierarchy>
    <cacheHierarchy uniqueName="[Measures].[Sum of فی]" caption="Sum of فی" measure="1" displayFolder="" measureGroup="bargiri" count="0">
      <extLst>
        <ext xmlns:x15="http://schemas.microsoft.com/office/spreadsheetml/2010/11/main" uri="{B97F6D7D-B522-45F9-BDA1-12C45D357490}">
          <x15:cacheHierarchy aggregatedColumn="4"/>
        </ext>
      </extLst>
    </cacheHierarchy>
    <cacheHierarchy uniqueName="[Measures].[Sum of میزان سفارش]" caption="Sum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Max of میزان سفارش]" caption="Max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فی 2]" caption="Sum of فی 2" measure="1" displayFolder="" measureGroup="invoice" count="0">
      <extLst>
        <ext xmlns:x15="http://schemas.microsoft.com/office/spreadsheetml/2010/11/main" uri="{B97F6D7D-B522-45F9-BDA1-12C45D357490}">
          <x15:cacheHierarchy aggregatedColumn="15"/>
        </ext>
      </extLst>
    </cacheHierarchy>
    <cacheHierarchy uniqueName="[Measures].[Average of فی]" caption="Average of فی" measure="1" displayFolder="" measureGroup="invoice" count="0">
      <extLst>
        <ext xmlns:x15="http://schemas.microsoft.com/office/spreadsheetml/2010/11/main" uri="{B97F6D7D-B522-45F9-BDA1-12C45D357490}">
          <x15:cacheHierarchy aggregatedColumn="15"/>
        </ext>
      </extLst>
    </cacheHierarchy>
    <cacheHierarchy uniqueName="[Measures].[Average of فی 2]" caption="Average of فی 2" measure="1" displayFolder="" measureGroup="bargiri" count="0">
      <extLst>
        <ext xmlns:x15="http://schemas.microsoft.com/office/spreadsheetml/2010/11/main" uri="{B97F6D7D-B522-45F9-BDA1-12C45D357490}">
          <x15:cacheHierarchy aggregatedColumn="4"/>
        </ext>
      </extLst>
    </cacheHierarchy>
    <cacheHierarchy uniqueName="[Measures].[Count of تاریخ]" caption="Count of تاریخ" measure="1" displayFolder="" measureGroup="invoice" count="0">
      <extLst>
        <ext xmlns:x15="http://schemas.microsoft.com/office/spreadsheetml/2010/11/main" uri="{B97F6D7D-B522-45F9-BDA1-12C45D357490}">
          <x15:cacheHierarchy aggregatedColumn="12"/>
        </ext>
      </extLst>
    </cacheHierarchy>
    <cacheHierarchy uniqueName="[Measures].[Count of شماره پیش فاکتور]" caption="Count of شماره پیش فاکتور" measure="1" displayFolder="" measureGroup="bargiri" count="0" oneField="1">
      <fieldsUsage count="1">
        <fieldUsage x="2"/>
      </fieldsUsage>
      <extLst>
        <ext xmlns:x15="http://schemas.microsoft.com/office/spreadsheetml/2010/11/main" uri="{B97F6D7D-B522-45F9-BDA1-12C45D357490}">
          <x15:cacheHierarchy aggregatedColumn="2"/>
        </ext>
      </extLst>
    </cacheHierarchy>
    <cacheHierarchy uniqueName="[Measures].[Distinct Count of شماره پیش فاکتور]" caption="Distinct Count of شماره پیش فاکتور" measure="1" displayFolder="" measureGroup="bargiri" count="0">
      <extLst>
        <ext xmlns:x15="http://schemas.microsoft.com/office/spreadsheetml/2010/11/main" uri="{B97F6D7D-B522-45F9-BDA1-12C45D357490}">
          <x15:cacheHierarchy aggregatedColumn="2"/>
        </ext>
      </extLst>
    </cacheHierarchy>
    <cacheHierarchy uniqueName="[Measures].[Count of شماره پیش فاکتور 2]" caption="Count of شماره پیش فاکتور 2" measure="1" displayFolder="" measureGroup="invoice" count="0">
      <extLst>
        <ext xmlns:x15="http://schemas.microsoft.com/office/spreadsheetml/2010/11/main" uri="{B97F6D7D-B522-45F9-BDA1-12C45D357490}">
          <x15:cacheHierarchy aggregatedColumn="10"/>
        </ext>
      </extLst>
    </cacheHierarchy>
    <cacheHierarchy uniqueName="[Measures].[Count of تاریخ بارگیری]" caption="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Count of نام مشتری]" caption="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نام مشتری]" caption="Distinct Count of نام مشتری" measure="1" displayFolder="" measureGroup="bargiri" count="0">
      <extLst>
        <ext xmlns:x15="http://schemas.microsoft.com/office/spreadsheetml/2010/11/main" uri="{B97F6D7D-B522-45F9-BDA1-12C45D357490}">
          <x15:cacheHierarchy aggregatedColumn="1"/>
        </ext>
      </extLst>
    </cacheHierarchy>
    <cacheHierarchy uniqueName="[Measures].[Distinct Count of تاریخ بارگیری]" caption="Distinct Count of تاریخ بارگیری" measure="1" displayFolder="" measureGroup="bargiri" count="0">
      <extLst>
        <ext xmlns:x15="http://schemas.microsoft.com/office/spreadsheetml/2010/11/main" uri="{B97F6D7D-B522-45F9-BDA1-12C45D357490}">
          <x15:cacheHierarchy aggregatedColumn="0"/>
        </ext>
      </extLst>
    </cacheHierarchy>
    <cacheHierarchy uniqueName="[Measures].[Average of میزان بارگیری شده]" caption="Average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Average of میزان سفارش]" caption="Average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 of میزان بارگیری شده]" caption="StdDev of میزان بارگیری شده" measure="1" displayFolder="" measureGroup="bargiri" count="0">
      <extLst>
        <ext xmlns:x15="http://schemas.microsoft.com/office/spreadsheetml/2010/11/main" uri="{B97F6D7D-B522-45F9-BDA1-12C45D357490}">
          <x15:cacheHierarchy aggregatedColumn="3"/>
        </ext>
      </extLst>
    </cacheHierarchy>
    <cacheHierarchy uniqueName="[Measures].[StdDev of میزان سفارش]" caption="StdDev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tdDevp of میزان سفارش]" caption="StdDevp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Var of میزان سفارش]" caption="Var of میزان سفارش" measure="1" displayFolder="" measureGroup="invoice" count="0">
      <extLst>
        <ext xmlns:x15="http://schemas.microsoft.com/office/spreadsheetml/2010/11/main" uri="{B97F6D7D-B522-45F9-BDA1-12C45D357490}">
          <x15:cacheHierarchy aggregatedColumn="14"/>
        </ext>
      </extLst>
    </cacheHierarchy>
    <cacheHierarchy uniqueName="[Measures].[Sum of میزان سفارش 2]" caption="Sum of میزان سفارش 2" measure="1" displayFolder="" measureGroup="invoice2" count="0">
      <extLst>
        <ext xmlns:x15="http://schemas.microsoft.com/office/spreadsheetml/2010/11/main" uri="{B97F6D7D-B522-45F9-BDA1-12C45D357490}">
          <x15:cacheHierarchy aggregatedColumn="30"/>
        </ext>
      </extLst>
    </cacheHierarchy>
    <cacheHierarchy uniqueName="[Measures].[Count of شماره پیش فاکتور 3]" caption="Count of شماره پیش فاکتور 3" measure="1" displayFolder="" measureGroup="invoice2" count="0">
      <extLst>
        <ext xmlns:x15="http://schemas.microsoft.com/office/spreadsheetml/2010/11/main" uri="{B97F6D7D-B522-45F9-BDA1-12C45D357490}">
          <x15:cacheHierarchy aggregatedColumn="26"/>
        </ext>
      </extLst>
    </cacheHierarchy>
    <cacheHierarchy uniqueName="[Measures].[Sum of فی 3]" caption="Sum of فی 3" measure="1" displayFolder="" measureGroup="invoice2" count="0">
      <extLst>
        <ext xmlns:x15="http://schemas.microsoft.com/office/spreadsheetml/2010/11/main" uri="{B97F6D7D-B522-45F9-BDA1-12C45D357490}">
          <x15:cacheHierarchy aggregatedColumn="31"/>
        </ext>
      </extLst>
    </cacheHierarchy>
    <cacheHierarchy uniqueName="[Measures].[Average of فی 3]" caption="Average of فی 3" measure="1" displayFolder="" measureGroup="invoice2" count="0">
      <extLst>
        <ext xmlns:x15="http://schemas.microsoft.com/office/spreadsheetml/2010/11/main" uri="{B97F6D7D-B522-45F9-BDA1-12C45D357490}">
          <x15:cacheHierarchy aggregatedColumn="31"/>
        </ext>
      </extLst>
    </cacheHierarchy>
    <cacheHierarchy uniqueName="[Measures].[Sum of سال]" caption="Sum of سال" measure="1" displayFolder="" measureGroup="bargiri" count="0">
      <extLst>
        <ext xmlns:x15="http://schemas.microsoft.com/office/spreadsheetml/2010/11/main" uri="{B97F6D7D-B522-45F9-BDA1-12C45D357490}">
          <x15:cacheHierarchy aggregatedColumn="5"/>
        </ext>
      </extLst>
    </cacheHierarchy>
    <cacheHierarchy uniqueName="[Measures].[Sum of درصد میزان بارگیری شده]" caption="Sum of درصد میزان بارگیری شده" measure="1" displayFolder="" measureGroup="invoice" count="0">
      <extLst>
        <ext xmlns:x15="http://schemas.microsoft.com/office/spreadsheetml/2010/11/main" uri="{B97F6D7D-B522-45F9-BDA1-12C45D357490}">
          <x15:cacheHierarchy aggregatedColumn="24"/>
        </ext>
      </extLst>
    </cacheHierarchy>
    <cacheHierarchy uniqueName="[Measures].[maxyearloading]" caption="maxyearloading" measure="1" displayFolder="" measureGroup="bargiri" count="0"/>
    <cacheHierarchy uniqueName="[Measures].[__XL_Count bargiri]" caption="__XL_Count bargiri" measure="1" displayFolder="" measureGroup="bargiri" count="0" hidden="1"/>
    <cacheHierarchy uniqueName="[Measures].[__XL_Count invoice]" caption="__XL_Count invoice" measure="1" displayFolder="" measureGroup="invoice" count="0" hidden="1"/>
    <cacheHierarchy uniqueName="[Measures].[__XL_Count Table1]" caption="__XL_Count Table1" measure="1" displayFolder="" measureGroup="Table1" count="0" hidden="1"/>
    <cacheHierarchy uniqueName="[Measures].[__XL_Count invoice2]" caption="__XL_Count invoice2" measure="1" displayFolder="" measureGroup="invoice2" count="0" hidden="1"/>
    <cacheHierarchy uniqueName="[Measures].[__No measures defined]" caption="__No measures defined" measure="1" displayFolder="" count="0" hidden="1"/>
  </cacheHierarchies>
  <kpis count="0"/>
  <dimensions count="5">
    <dimension name="bargiri" uniqueName="[bargiri]" caption="bargiri"/>
    <dimension name="invoice" uniqueName="[invoice]" caption="invoice"/>
    <dimension name="invoice2" uniqueName="[invoice2]" caption="invoice2"/>
    <dimension measure="1" name="Measures" uniqueName="[Measures]" caption="Measures"/>
    <dimension name="Table1" uniqueName="[Table1]" caption="Table1"/>
  </dimensions>
  <measureGroups count="4">
    <measureGroup name="bargiri" caption="bargiri"/>
    <measureGroup name="invoice" caption="invoice"/>
    <measureGroup name="invoice2" caption="invoice2"/>
    <measureGroup name="Table1" caption="Table1"/>
  </measureGroups>
  <maps count="7">
    <map measureGroup="0" dimension="0"/>
    <map measureGroup="0" dimension="1"/>
    <map measureGroup="0" dimension="2"/>
    <map measureGroup="1" dimension="1"/>
    <map measureGroup="1" dimension="2"/>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521C393-9436-44CE-8C8A-FA04D846332E}" name="total" cacheId="375" applyNumberFormats="0" applyBorderFormats="0" applyFontFormats="0" applyPatternFormats="0" applyAlignmentFormats="0" applyWidthHeightFormats="1" dataCaption="Values" tag="8c99efcd-b569-44f8-98a1-d0463c26ed6b" updatedVersion="8" minRefreshableVersion="3" useAutoFormatting="1" subtotalHiddenItems="1" rowGrandTotals="0" colGrandTotals="0" itemPrintTitles="1" createdVersion="6" indent="0" outline="1" outlineData="1" multipleFieldFilters="0" rowHeaderCaption="شماره پیش فاکتور">
  <location ref="K7:T8" firstHeaderRow="0" firstDataRow="1" firstDataCol="0"/>
  <pivotFields count="12">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s>
  <rowItems count="1">
    <i/>
  </rowItems>
  <colFields count="1">
    <field x="-2"/>
  </colFields>
  <colItems count="10">
    <i>
      <x/>
    </i>
    <i i="1">
      <x v="1"/>
    </i>
    <i i="2">
      <x v="2"/>
    </i>
    <i i="3">
      <x v="3"/>
    </i>
    <i i="4">
      <x v="4"/>
    </i>
    <i i="5">
      <x v="5"/>
    </i>
    <i i="6">
      <x v="6"/>
    </i>
    <i i="7">
      <x v="7"/>
    </i>
    <i i="8">
      <x v="8"/>
    </i>
    <i i="9">
      <x v="9"/>
    </i>
  </colItems>
  <dataFields count="10">
    <dataField name="Distinct Count of نام مشتری" fld="11" subtotal="count" baseField="0" baseItem="1">
      <extLst>
        <ext xmlns:x15="http://schemas.microsoft.com/office/spreadsheetml/2010/11/main" uri="{FABC7310-3BB5-11E1-824E-6D434824019B}">
          <x15:dataField isCountDistinct="1"/>
        </ext>
      </extLst>
    </dataField>
    <dataField name="تعداد پیش فاکتور" fld="4" subtotal="count" baseField="0" baseItem="0"/>
    <dataField name="تعداد بارگیری" fld="5" subtotal="count" baseField="0" baseItem="0" numFmtId="166"/>
    <dataField name="میزان سفارش" fld="2" baseField="0" baseItem="4" numFmtId="168"/>
    <dataField name="میزان بارگیری شده" fld="0" baseField="0" baseItem="4" numFmtId="168"/>
    <dataField name="میانگین فی" fld="1" subtotal="average" baseField="3" baseItem="0" numFmtId="166"/>
    <dataField name="میانگین سفارش" fld="7" subtotal="average" baseField="0" baseItem="6" numFmtId="169"/>
    <dataField name="میانگین بارگیری" fld="6" subtotal="average" baseField="0" baseItem="7" numFmtId="169"/>
    <dataField name="انحراف بارگیری" fld="8" subtotal="stdDev" baseField="0" baseItem="8" numFmtId="169"/>
    <dataField name="انحراف سفارش" fld="9" subtotal="stdDevp" baseField="0" baseItem="8" numFmtId="169"/>
  </dataFields>
  <formats count="16">
    <format dxfId="1004">
      <pivotArea outline="0" collapsedLevelsAreSubtotals="1" fieldPosition="0">
        <references count="1">
          <reference field="4294967294" count="1" selected="0">
            <x v="5"/>
          </reference>
        </references>
      </pivotArea>
    </format>
    <format dxfId="1003">
      <pivotArea outline="0" collapsedLevelsAreSubtotals="1" fieldPosition="0">
        <references count="1">
          <reference field="4294967294" count="3" selected="0">
            <x v="2"/>
            <x v="3"/>
            <x v="4"/>
          </reference>
        </references>
      </pivotArea>
    </format>
    <format dxfId="1002">
      <pivotArea outline="0" collapsedLevelsAreSubtotals="1" fieldPosition="0">
        <references count="1">
          <reference field="4294967294" count="1" selected="0">
            <x v="7"/>
          </reference>
        </references>
      </pivotArea>
    </format>
    <format dxfId="1001">
      <pivotArea outline="0" collapsedLevelsAreSubtotals="1" fieldPosition="0">
        <references count="1">
          <reference field="4294967294" count="1" selected="0">
            <x v="6"/>
          </reference>
        </references>
      </pivotArea>
    </format>
    <format dxfId="1000">
      <pivotArea outline="0" fieldPosition="0">
        <references count="1">
          <reference field="4294967294" count="1">
            <x v="3"/>
          </reference>
        </references>
      </pivotArea>
    </format>
    <format dxfId="999">
      <pivotArea outline="0" fieldPosition="0">
        <references count="1">
          <reference field="4294967294" count="1">
            <x v="4"/>
          </reference>
        </references>
      </pivotArea>
    </format>
    <format dxfId="998">
      <pivotArea outline="0" fieldPosition="0">
        <references count="1">
          <reference field="4294967294" count="1">
            <x v="6"/>
          </reference>
        </references>
      </pivotArea>
    </format>
    <format dxfId="997">
      <pivotArea outline="0" fieldPosition="0">
        <references count="1">
          <reference field="4294967294" count="1">
            <x v="7"/>
          </reference>
        </references>
      </pivotArea>
    </format>
    <format dxfId="996">
      <pivotArea outline="0" fieldPosition="0">
        <references count="1">
          <reference field="4294967294" count="1">
            <x v="9"/>
          </reference>
        </references>
      </pivotArea>
    </format>
    <format dxfId="995">
      <pivotArea outline="0" fieldPosition="0">
        <references count="1">
          <reference field="4294967294" count="1">
            <x v="8"/>
          </reference>
        </references>
      </pivotArea>
    </format>
    <format dxfId="994">
      <pivotArea type="all" dataOnly="0" outline="0" fieldPosition="0"/>
    </format>
    <format dxfId="993">
      <pivotArea outline="0" collapsedLevelsAreSubtotals="1" fieldPosition="0"/>
    </format>
    <format dxfId="992">
      <pivotArea dataOnly="0" labelOnly="1" outline="0" fieldPosition="0">
        <references count="1">
          <reference field="4294967294" count="10">
            <x v="0"/>
            <x v="1"/>
            <x v="2"/>
            <x v="3"/>
            <x v="4"/>
            <x v="5"/>
            <x v="6"/>
            <x v="7"/>
            <x v="8"/>
            <x v="9"/>
          </reference>
        </references>
      </pivotArea>
    </format>
    <format dxfId="991">
      <pivotArea type="all" dataOnly="0" outline="0" fieldPosition="0"/>
    </format>
    <format dxfId="990">
      <pivotArea outline="0" collapsedLevelsAreSubtotals="1" fieldPosition="0"/>
    </format>
    <format dxfId="989">
      <pivotArea dataOnly="0" labelOnly="1" outline="0" fieldPosition="0">
        <references count="1">
          <reference field="4294967294" count="10">
            <x v="0"/>
            <x v="1"/>
            <x v="2"/>
            <x v="3"/>
            <x v="4"/>
            <x v="5"/>
            <x v="6"/>
            <x v="7"/>
            <x v="8"/>
            <x v="9"/>
          </reference>
        </references>
      </pivotArea>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voice].[نام مشتری].&amp;[تعاونی ماهان گاز]"/>
      </members>
    </pivotHierarchy>
    <pivotHierarchy dragToData="1"/>
    <pivotHierarchy dragToData="1"/>
    <pivotHierarchy dragToData="1"/>
    <pivotHierarchy dragToData="1"/>
    <pivotHierarchy dragToData="1"/>
    <pivotHierarchy multipleItemSelectionAllowed="1" dragToData="1">
      <members count="1" level="1">
        <member name="[invoice].[سال].&amp;[140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بارگیری شده"/>
    <pivotHierarchy dragToData="1"/>
    <pivotHierarchy dragToData="1" caption="میزان سفارش"/>
    <pivotHierarchy dragToData="1"/>
    <pivotHierarchy dragToData="1"/>
    <pivotHierarchy dragToData="1"/>
    <pivotHierarchy dragToData="1" caption="میانگین فی"/>
    <pivotHierarchy dragToData="1"/>
    <pivotHierarchy dragToData="1" caption="تعداد بارگیری"/>
    <pivotHierarchy dragToData="1"/>
    <pivotHierarchy dragToData="1" caption="تعداد پیش فاکتور"/>
    <pivotHierarchy dragToData="1"/>
    <pivotHierarchy dragToData="1" caption="Count of نام مشتری"/>
    <pivotHierarchy dragToData="1" caption="Distinct Count of نام مشتری"/>
    <pivotHierarchy dragToData="1" caption="Distinct Count of تاریخ بارگیری"/>
    <pivotHierarchy dragToData="1" caption="میانگین بارگیری"/>
    <pivotHierarchy dragToData="1" caption="میانگین سفارش"/>
    <pivotHierarchy dragToData="1" caption="انحراف بارگیری"/>
    <pivotHierarchy dragToData="1" caption="StdDev of میزان سفارش"/>
    <pivotHierarchy dragToData="1" caption="انحراف سفارش"/>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
        <x15:activeTabTopLevelEntity name="[bargiri]"/>
        <x15:activeTabTopLevelEntity name="[invoice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0D8C8CD-A1F6-41E4-ABF0-9B8D3FF19FD0}" name="customer_details" cacheId="369" applyNumberFormats="0" applyBorderFormats="0" applyFontFormats="0" applyPatternFormats="0" applyAlignmentFormats="0" applyWidthHeightFormats="1" dataCaption="Values" tag="54404a0d-0c37-4e20-819c-787298b7fe33" updatedVersion="8" minRefreshableVersion="3" useAutoFormatting="1" subtotalHiddenItems="1" rowGrandTotals="0" colGrandTotals="0" itemPrintTitles="1" createdVersion="6" indent="0" outline="1" outlineData="1" multipleFieldFilters="0" rowHeaderCaption="شماره پیش فاکتور">
  <location ref="Z6:AD23" firstHeaderRow="0" firstDataRow="1" firstDataCol="1" rowPageCount="3" colPageCount="1"/>
  <pivotFields count="8">
    <pivotField dataField="1" subtotalTop="0" showAll="0" defaultSubtotal="0"/>
    <pivotField dataField="1" subtotalTop="0" showAll="0" defaultSubtotal="0"/>
    <pivotField axis="axisPage" allDrilled="1" subtotalTop="0" showAll="0" dataSourceSort="1" defaultSubtotal="0" defaultAttributeDrillState="1"/>
    <pivotField dataField="1" subtotalTop="0" showAll="0" defaultSubtotal="0"/>
    <pivotField axis="axisRow" allDrilled="1" subtotalTop="0" showAll="0" sortType="ascending" defaultSubtotal="0" defaultAttributeDrillState="1">
      <items count="17">
        <item x="0"/>
        <item x="1"/>
        <item x="2"/>
        <item x="3"/>
        <item x="4"/>
        <item x="5"/>
        <item x="6"/>
        <item x="7"/>
        <item x="8"/>
        <item x="9"/>
        <item x="10"/>
        <item x="11"/>
        <item x="12"/>
        <item x="13"/>
        <item x="14"/>
        <item x="15"/>
        <item x="16"/>
      </items>
      <autoSortScope>
        <pivotArea dataOnly="0" outline="0" fieldPosition="0">
          <references count="1">
            <reference field="4294967294" count="1" selected="0">
              <x v="3"/>
            </reference>
          </references>
        </pivotArea>
      </autoSortScope>
    </pivotField>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4"/>
  </rowFields>
  <rowItems count="17">
    <i>
      <x v="8"/>
    </i>
    <i>
      <x v="7"/>
    </i>
    <i>
      <x v="14"/>
    </i>
    <i>
      <x v="4"/>
    </i>
    <i>
      <x v="9"/>
    </i>
    <i>
      <x v="13"/>
    </i>
    <i>
      <x v="10"/>
    </i>
    <i>
      <x v="6"/>
    </i>
    <i>
      <x v="12"/>
    </i>
    <i>
      <x v="1"/>
    </i>
    <i>
      <x/>
    </i>
    <i>
      <x v="16"/>
    </i>
    <i>
      <x v="3"/>
    </i>
    <i>
      <x v="2"/>
    </i>
    <i>
      <x v="15"/>
    </i>
    <i>
      <x v="11"/>
    </i>
    <i>
      <x v="5"/>
    </i>
  </rowItems>
  <colFields count="1">
    <field x="-2"/>
  </colFields>
  <colItems count="4">
    <i>
      <x/>
    </i>
    <i i="1">
      <x v="1"/>
    </i>
    <i i="2">
      <x v="2"/>
    </i>
    <i i="3">
      <x v="3"/>
    </i>
  </colItems>
  <pageFields count="3">
    <pageField fld="7" hier="25" name="[invoice].[Calculated Column 1].&amp;[بله]" cap="بله"/>
    <pageField fld="2" hier="11" name="[invoice].[نام مشتری].&amp;[طوس قزوین]" cap="طوس قزوین"/>
    <pageField fld="5" hier="18" name="[invoice].[نوع سفارش].&amp;[بورس]" cap="بورس"/>
  </pageFields>
  <dataFields count="4">
    <dataField name="میانگین فی" fld="1" subtotal="average" baseField="2" baseItem="0"/>
    <dataField name="میزان بارگیری شده" fld="0" baseField="2" baseItem="0" numFmtId="3"/>
    <dataField name="میزان سفارش" fld="3" baseField="0" baseItem="0"/>
    <dataField name="Sum of درصد میزان بارگیری شده" fld="6" baseField="4" baseItem="2"/>
  </dataFields>
  <formats count="10">
    <format dxfId="1014">
      <pivotArea type="all" dataOnly="0" outline="0" fieldPosition="0"/>
    </format>
    <format dxfId="1013">
      <pivotArea outline="0" collapsedLevelsAreSubtotals="1" fieldPosition="0"/>
    </format>
    <format dxfId="1012">
      <pivotArea field="4" type="button" dataOnly="0" labelOnly="1" outline="0" axis="axisRow" fieldPosition="0"/>
    </format>
    <format dxfId="1011">
      <pivotArea dataOnly="0" labelOnly="1" fieldPosition="0">
        <references count="1">
          <reference field="4" count="0"/>
        </references>
      </pivotArea>
    </format>
    <format dxfId="1010">
      <pivotArea dataOnly="0" labelOnly="1" outline="0" fieldPosition="0">
        <references count="1">
          <reference field="4294967294" count="3">
            <x v="0"/>
            <x v="1"/>
            <x v="2"/>
          </reference>
        </references>
      </pivotArea>
    </format>
    <format dxfId="1009">
      <pivotArea type="all" dataOnly="0" outline="0" fieldPosition="0"/>
    </format>
    <format dxfId="1008">
      <pivotArea outline="0" collapsedLevelsAreSubtotals="1" fieldPosition="0"/>
    </format>
    <format dxfId="1007">
      <pivotArea field="4" type="button" dataOnly="0" labelOnly="1" outline="0" axis="axisRow" fieldPosition="0"/>
    </format>
    <format dxfId="1006">
      <pivotArea dataOnly="0" labelOnly="1" fieldPosition="0">
        <references count="1">
          <reference field="4" count="0"/>
        </references>
      </pivotArea>
    </format>
    <format dxfId="1005">
      <pivotArea dataOnly="0" labelOnly="1" outline="0" fieldPosition="0">
        <references count="1">
          <reference field="4294967294" count="3">
            <x v="0"/>
            <x v="1"/>
            <x v="2"/>
          </reference>
        </references>
      </pivotArea>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voice].[نام مشتری].&amp;[طوس قزوین]"/>
      </members>
    </pivotHierarchy>
    <pivotHierarchy dragToData="1"/>
    <pivotHierarchy dragToData="1"/>
    <pivotHierarchy dragToData="1"/>
    <pivotHierarchy dragToData="1"/>
    <pivotHierarchy dragToData="1"/>
    <pivotHierarchy dragToData="1"/>
    <pivotHierarchy multipleItemSelectionAllowed="1" dragToData="1">
      <members count="4" level="1">
        <member name="[invoice].[نوع سفارش].&amp;[بورس]"/>
        <member name="[invoice].[نوع سفارش].&amp;[عادی]"/>
        <member name="[invoice].[نوع سفارش].&amp;[انجمن]"/>
        <member name="[invoice].[نوع سفارش].&amp;[تعادلی]"/>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بارگیری شده"/>
    <pivotHierarchy dragToData="1"/>
    <pivotHierarchy dragToData="1" caption="میزان سفارش"/>
    <pivotHierarchy dragToData="1"/>
    <pivotHierarchy dragToData="1"/>
    <pivotHierarchy dragToData="1"/>
    <pivotHierarchy dragToData="1" caption="میانگین فی"/>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سفارش"/>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
        <x15:activeTabTopLevelEntity name="[bargiri]"/>
        <x15:activeTabTopLevelEntity name="[invoice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B4E4796-30BE-48C2-9EE7-8A4FAB4C55DB}" name="customer" cacheId="366" applyNumberFormats="0" applyBorderFormats="0" applyFontFormats="0" applyPatternFormats="0" applyAlignmentFormats="0" applyWidthHeightFormats="1" dataCaption="Values" tag="a1e71105-5432-4017-ab2b-b69f558460dc" updatedVersion="8" minRefreshableVersion="3" useAutoFormatting="1" subtotalHiddenItems="1" rowGrandTotals="0" colGrandTotals="0" itemPrintTitles="1" createdVersion="6" indent="0" outline="1" outlineData="1" multipleFieldFilters="0" rowHeaderCaption="شماره پیش فاکتور">
  <location ref="AF6:AJ7" firstHeaderRow="0" firstDataRow="1" firstDataCol="0" rowPageCount="2" colPageCount="1"/>
  <pivotFields count="7">
    <pivotField dataField="1" subtotalTop="0" showAll="0" defaultSubtotal="0"/>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Items count="1">
    <i/>
  </rowItems>
  <colFields count="1">
    <field x="-2"/>
  </colFields>
  <colItems count="5">
    <i>
      <x/>
    </i>
    <i i="1">
      <x v="1"/>
    </i>
    <i i="2">
      <x v="2"/>
    </i>
    <i i="3">
      <x v="3"/>
    </i>
    <i i="4">
      <x v="4"/>
    </i>
  </colItems>
  <pageFields count="2">
    <pageField fld="1" hier="11" name="[invoice].[نام مشتری].&amp;[طوس قزوین]" cap="طوس قزوین"/>
    <pageField fld="6" hier="18" name="[invoice].[نوع سفارش].&amp;[بورس]" cap="بورس"/>
  </pageFields>
  <dataFields count="5">
    <dataField name=" میزان سفارش" fld="5" baseField="0" baseItem="1" numFmtId="170"/>
    <dataField name="میزان بارگیری شده" fld="0" baseField="0" baseItem="1" numFmtId="170"/>
    <dataField name=" میانگین فی" fld="3" subtotal="average" baseField="0" baseItem="3" numFmtId="166"/>
    <dataField name="تعداد پیش فاکتور" fld="4" subtotal="count" baseField="0" baseItem="4"/>
    <dataField name="تعداد بارگیری" fld="2" subtotal="count" baseField="0" baseItem="0"/>
  </dataFields>
  <formats count="11">
    <format dxfId="1025">
      <pivotArea outline="0" collapsedLevelsAreSubtotals="1" fieldPosition="0">
        <references count="1">
          <reference field="4294967294" count="1" selected="0">
            <x v="1"/>
          </reference>
        </references>
      </pivotArea>
    </format>
    <format dxfId="1024">
      <pivotArea outline="0" collapsedLevelsAreSubtotals="1" fieldPosition="0">
        <references count="1">
          <reference field="4294967294" count="1" selected="0">
            <x v="2"/>
          </reference>
        </references>
      </pivotArea>
    </format>
    <format dxfId="1023">
      <pivotArea outline="0" collapsedLevelsAreSubtotals="1" fieldPosition="0">
        <references count="1">
          <reference field="4294967294" count="1" selected="0">
            <x v="0"/>
          </reference>
        </references>
      </pivotArea>
    </format>
    <format dxfId="1022">
      <pivotArea outline="0" fieldPosition="0">
        <references count="1">
          <reference field="4294967294" count="1">
            <x v="0"/>
          </reference>
        </references>
      </pivotArea>
    </format>
    <format dxfId="1021">
      <pivotArea outline="0" fieldPosition="0">
        <references count="1">
          <reference field="4294967294" count="1">
            <x v="1"/>
          </reference>
        </references>
      </pivotArea>
    </format>
    <format dxfId="1020">
      <pivotArea type="all" dataOnly="0" outline="0" fieldPosition="0"/>
    </format>
    <format dxfId="1019">
      <pivotArea outline="0" collapsedLevelsAreSubtotals="1" fieldPosition="0"/>
    </format>
    <format dxfId="1018">
      <pivotArea dataOnly="0" labelOnly="1" outline="0" fieldPosition="0">
        <references count="1">
          <reference field="4294967294" count="5">
            <x v="0"/>
            <x v="1"/>
            <x v="2"/>
            <x v="3"/>
            <x v="4"/>
          </reference>
        </references>
      </pivotArea>
    </format>
    <format dxfId="1017">
      <pivotArea type="all" dataOnly="0" outline="0" fieldPosition="0"/>
    </format>
    <format dxfId="1016">
      <pivotArea outline="0" collapsedLevelsAreSubtotals="1" fieldPosition="0"/>
    </format>
    <format dxfId="1015">
      <pivotArea dataOnly="0" labelOnly="1" outline="0" fieldPosition="0">
        <references count="1">
          <reference field="4294967294" count="5">
            <x v="0"/>
            <x v="1"/>
            <x v="2"/>
            <x v="3"/>
            <x v="4"/>
          </reference>
        </references>
      </pivotArea>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voice].[نام مشتری].&amp;[طوس قزوین]"/>
      </members>
    </pivotHierarchy>
    <pivotHierarchy dragToData="1"/>
    <pivotHierarchy dragToData="1"/>
    <pivotHierarchy dragToData="1"/>
    <pivotHierarchy dragToData="1"/>
    <pivotHierarchy dragToData="1"/>
    <pivotHierarchy dragToData="1"/>
    <pivotHierarchy multipleItemSelectionAllowed="1" dragToData="1">
      <members count="4" level="1">
        <member name="[invoice].[نوع سفارش].&amp;[بورس]"/>
        <member name="[invoice].[نوع سفارش].&amp;[عادی]"/>
        <member name="[invoice].[نوع سفارش].&amp;[انجمن]"/>
        <member name="[invoice].[نوع سفارش].&amp;[تعادلی]"/>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بارگیری شده"/>
    <pivotHierarchy dragToData="1"/>
    <pivotHierarchy dragToData="1" caption=" میزان سفارش"/>
    <pivotHierarchy dragToData="1"/>
    <pivotHierarchy dragToData="1"/>
    <pivotHierarchy dragToData="1" caption="میانگین فی"/>
    <pivotHierarchy dragToData="1" caption=" میانگین فی"/>
    <pivotHierarchy dragToData="1"/>
    <pivotHierarchy dragToData="1" caption="تعداد بارگیری"/>
    <pivotHierarchy dragToData="1" caption="Distinct Count of شماره پیش فاکتور"/>
    <pivotHierarchy dragToData="1" caption="تعداد پیش فاکتور"/>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سفارش"/>
    <pivotHierarchy dragToData="1" caption="تعداد پیش فاکتور"/>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
        <x15:activeTabTopLevelEntity name="[bargiri]"/>
        <x15:activeTabTopLevelEntity name="[invoice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4A5483F-85D0-45FD-9E01-0A559E7913EE}" name="total_customer" cacheId="384" applyNumberFormats="0" applyBorderFormats="0" applyFontFormats="0" applyPatternFormats="0" applyAlignmentFormats="0" applyWidthHeightFormats="1" dataCaption="Values" tag="512c9e5f-494d-4545-851d-79f9a1fd52e1" updatedVersion="8" minRefreshableVersion="3" useAutoFormatting="1" subtotalHiddenItems="1" rowGrandTotals="0" colGrandTotals="0" itemPrintTitles="1" createdVersion="6" indent="0" outline="1" outlineData="1" multipleFieldFilters="0" rowHeaderCaption="نام مشتری">
  <location ref="AN6:AT36" firstHeaderRow="0" firstDataRow="1" firstDataCol="1" rowPageCount="1" colPageCount="1"/>
  <pivotFields count="8">
    <pivotField dataField="1" subtotalTop="0" showAll="0" defaultSubtotal="0"/>
    <pivotField dataField="1" subtotalTop="0" showAll="0" defaultSubtotal="0"/>
    <pivotField dataField="1" subtotalTop="0" showAll="0" defaultSubtotal="0"/>
    <pivotField axis="axisRow" allDrilled="1" subtotalTop="0" showAll="0" sortType="descending"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autoSortScope>
        <pivotArea dataOnly="0" outline="0" fieldPosition="0">
          <references count="1">
            <reference field="4294967294" count="1" selected="0">
              <x v="0"/>
            </reference>
          </references>
        </pivotArea>
      </autoSortScope>
    </pivotField>
    <pivotField dataField="1" subtotalTop="0" showAll="0" defaultSubtotal="0"/>
    <pivotField dataField="1" subtotalTop="0" showAll="0" defaultSubtotal="0"/>
    <pivotField axis="axisPage"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30">
    <i>
      <x v="21"/>
    </i>
    <i>
      <x v="19"/>
    </i>
    <i>
      <x v="9"/>
    </i>
    <i>
      <x v="12"/>
    </i>
    <i>
      <x v="2"/>
    </i>
    <i>
      <x v="5"/>
    </i>
    <i>
      <x v="7"/>
    </i>
    <i>
      <x v="20"/>
    </i>
    <i>
      <x v="10"/>
    </i>
    <i>
      <x v="1"/>
    </i>
    <i>
      <x v="6"/>
    </i>
    <i>
      <x v="25"/>
    </i>
    <i>
      <x v="4"/>
    </i>
    <i>
      <x v="16"/>
    </i>
    <i>
      <x v="24"/>
    </i>
    <i>
      <x v="18"/>
    </i>
    <i>
      <x v="17"/>
    </i>
    <i>
      <x v="8"/>
    </i>
    <i>
      <x v="26"/>
    </i>
    <i>
      <x v="27"/>
    </i>
    <i>
      <x v="23"/>
    </i>
    <i>
      <x v="13"/>
    </i>
    <i>
      <x v="11"/>
    </i>
    <i>
      <x v="28"/>
    </i>
    <i>
      <x v="3"/>
    </i>
    <i>
      <x v="14"/>
    </i>
    <i>
      <x v="22"/>
    </i>
    <i>
      <x/>
    </i>
    <i>
      <x v="15"/>
    </i>
    <i>
      <x v="29"/>
    </i>
  </rowItems>
  <colFields count="1">
    <field x="-2"/>
  </colFields>
  <colItems count="6">
    <i>
      <x/>
    </i>
    <i i="1">
      <x v="1"/>
    </i>
    <i i="2">
      <x v="2"/>
    </i>
    <i i="3">
      <x v="3"/>
    </i>
    <i i="4">
      <x v="4"/>
    </i>
    <i i="5">
      <x v="5"/>
    </i>
  </colItems>
  <pageFields count="1">
    <pageField fld="6" hier="5" name="[bargiri].[سال].&amp;[1403]" cap="1403"/>
  </pageFields>
  <dataFields count="6">
    <dataField name="میزان سفارش" fld="2" baseField="3" baseItem="0" numFmtId="166"/>
    <dataField name="میزان بارگیری شده" fld="0" baseField="3" baseItem="0" numFmtId="166"/>
    <dataField name="میانگین فی" fld="1" subtotal="average" baseField="3" baseItem="0" numFmtId="166"/>
    <dataField name="تعداد پیش فاکتور" fld="4" subtotal="count" baseField="0" baseItem="0"/>
    <dataField name="تعداد بارگیری" fld="5" subtotal="count" baseField="0" baseItem="0"/>
    <dataField name="%از کل سفارش ها" fld="7" showDataAs="percentOfTotal" baseField="3" baseItem="0" numFmtId="10">
      <extLst>
        <ext xmlns:x14="http://schemas.microsoft.com/office/spreadsheetml/2009/9/main" uri="{E15A36E0-9728-4e99-A89B-3F7291B0FE68}">
          <x14:dataField sourceField="0" uniqueName="[__Xl2].[Measures].[Sum of میزان بارگیری شده]"/>
        </ext>
      </extLst>
    </dataField>
  </dataFields>
  <formats count="18">
    <format dxfId="1043">
      <pivotArea outline="0" collapsedLevelsAreSubtotals="1" fieldPosition="0">
        <references count="1">
          <reference field="4294967294" count="3" selected="0">
            <x v="0"/>
            <x v="1"/>
            <x v="2"/>
          </reference>
        </references>
      </pivotArea>
    </format>
    <format dxfId="1042">
      <pivotArea outline="0" fieldPosition="0">
        <references count="1">
          <reference field="4294967294" count="1">
            <x v="1"/>
          </reference>
        </references>
      </pivotArea>
    </format>
    <format dxfId="1041">
      <pivotArea outline="0" collapsedLevelsAreSubtotals="1" fieldPosition="0">
        <references count="1">
          <reference field="4294967294" count="1" selected="0">
            <x v="1"/>
          </reference>
        </references>
      </pivotArea>
    </format>
    <format dxfId="1040">
      <pivotArea dataOnly="0" labelOnly="1" outline="0" fieldPosition="0">
        <references count="1">
          <reference field="4294967294" count="1">
            <x v="1"/>
          </reference>
        </references>
      </pivotArea>
    </format>
    <format dxfId="1039">
      <pivotArea dataOnly="0" labelOnly="1" outline="0" fieldPosition="0">
        <references count="1">
          <reference field="4294967294" count="1">
            <x v="1"/>
          </reference>
        </references>
      </pivotArea>
    </format>
    <format dxfId="1038">
      <pivotArea outline="0" collapsedLevelsAreSubtotals="1" fieldPosition="0">
        <references count="1">
          <reference field="4294967294" count="2" selected="0">
            <x v="0"/>
            <x v="1"/>
          </reference>
        </references>
      </pivotArea>
    </format>
    <format dxfId="1037">
      <pivotArea dataOnly="0" labelOnly="1" fieldPosition="0">
        <references count="1">
          <reference field="3" count="0"/>
        </references>
      </pivotArea>
    </format>
    <format dxfId="1036">
      <pivotArea outline="0" collapsedLevelsAreSubtotals="1" fieldPosition="0">
        <references count="1">
          <reference field="4294967294" count="4" selected="0">
            <x v="1"/>
            <x v="2"/>
            <x v="3"/>
            <x v="4"/>
          </reference>
        </references>
      </pivotArea>
    </format>
    <format dxfId="1035">
      <pivotArea type="all" dataOnly="0" outline="0" fieldPosition="0"/>
    </format>
    <format dxfId="1034">
      <pivotArea outline="0" collapsedLevelsAreSubtotals="1" fieldPosition="0"/>
    </format>
    <format dxfId="1033">
      <pivotArea field="3" type="button" dataOnly="0" labelOnly="1" outline="0" axis="axisRow" fieldPosition="0"/>
    </format>
    <format dxfId="1032">
      <pivotArea dataOnly="0" labelOnly="1" fieldPosition="0">
        <references count="1">
          <reference field="3" count="0"/>
        </references>
      </pivotArea>
    </format>
    <format dxfId="1031">
      <pivotArea dataOnly="0" labelOnly="1" outline="0" fieldPosition="0">
        <references count="1">
          <reference field="4294967294" count="6">
            <x v="0"/>
            <x v="1"/>
            <x v="1"/>
            <x v="2"/>
            <x v="3"/>
            <x v="4"/>
          </reference>
        </references>
      </pivotArea>
    </format>
    <format dxfId="1030">
      <pivotArea type="all" dataOnly="0" outline="0" fieldPosition="0"/>
    </format>
    <format dxfId="1029">
      <pivotArea outline="0" collapsedLevelsAreSubtotals="1" fieldPosition="0"/>
    </format>
    <format dxfId="1028">
      <pivotArea field="3" type="button" dataOnly="0" labelOnly="1" outline="0" axis="axisRow" fieldPosition="0"/>
    </format>
    <format dxfId="1027">
      <pivotArea dataOnly="0" labelOnly="1" fieldPosition="0">
        <references count="1">
          <reference field="3" count="0"/>
        </references>
      </pivotArea>
    </format>
    <format dxfId="1026">
      <pivotArea dataOnly="0" labelOnly="1" outline="0" fieldPosition="0">
        <references count="1">
          <reference field="4294967294" count="6">
            <x v="0"/>
            <x v="1"/>
            <x v="1"/>
            <x v="2"/>
            <x v="3"/>
            <x v="4"/>
          </reference>
        </references>
      </pivotArea>
    </format>
  </formats>
  <pivotHierarchies count="78">
    <pivotHierarchy dragToData="1"/>
    <pivotHierarchy dragToData="1"/>
    <pivotHierarchy dragToData="1"/>
    <pivotHierarchy dragToData="1"/>
    <pivotHierarchy dragToData="1"/>
    <pivotHierarchy multipleItemSelectionAllowed="1" dragToData="1">
      <members count="1" level="1">
        <member name="[bargiri].[سال].&amp;[1403]"/>
      </members>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از کل سفارش ها"/>
    <pivotHierarchy dragToData="1"/>
    <pivotHierarchy dragToData="1" caption="میزان سفارش"/>
    <pivotHierarchy dragToData="1"/>
    <pivotHierarchy dragToData="1"/>
    <pivotHierarchy dragToData="1"/>
    <pivotHierarchy dragToData="1" caption="میانگین فی"/>
    <pivotHierarchy dragToData="1"/>
    <pivotHierarchy dragToData="1" caption="تعداد بارگیری"/>
    <pivotHierarchy dragToData="1" caption="Distinct Count of شماره پیش فاکتور"/>
    <pivotHierarchy dragToData="1" caption="تعداد پیش فاکتور"/>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
        <x15:activeTabTopLevelEntity name="[bargiri]"/>
        <x15:activeTabTopLevelEntity name="[invoice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768CF23-2492-4B0E-B03C-319D34730266}" name="PivotTable2" cacheId="372" applyNumberFormats="0" applyBorderFormats="0" applyFontFormats="0" applyPatternFormats="0" applyAlignmentFormats="0" applyWidthHeightFormats="1" dataCaption="Values" tag="b04b983a-3edd-4f3f-a36f-1b0a04d46b7d" updatedVersion="8" minRefreshableVersion="3" useAutoFormatting="1" subtotalHiddenItems="1" rowGrandTotals="0" colGrandTotals="0" itemPrintTitles="1" createdVersion="6" indent="0" outline="1" outlineData="1" multipleFieldFilters="0" rowHeaderCaption="شماره پیش فاکتور">
  <location ref="CJ8:CN30" firstHeaderRow="0" firstDataRow="1" firstDataCol="1" rowPageCount="2" colPageCount="1"/>
  <pivotFields count="8">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Fields count="1">
    <field x="3"/>
  </rowFields>
  <rowItems count="22">
    <i>
      <x/>
    </i>
    <i>
      <x v="1"/>
    </i>
    <i>
      <x v="2"/>
    </i>
    <i>
      <x v="3"/>
    </i>
    <i>
      <x v="4"/>
    </i>
    <i>
      <x v="5"/>
    </i>
    <i>
      <x v="6"/>
    </i>
    <i>
      <x v="7"/>
    </i>
    <i>
      <x v="8"/>
    </i>
    <i>
      <x v="9"/>
    </i>
    <i>
      <x v="10"/>
    </i>
    <i>
      <x v="11"/>
    </i>
    <i>
      <x v="12"/>
    </i>
    <i>
      <x v="13"/>
    </i>
    <i>
      <x v="14"/>
    </i>
    <i>
      <x v="15"/>
    </i>
    <i>
      <x v="16"/>
    </i>
    <i>
      <x v="17"/>
    </i>
    <i>
      <x v="18"/>
    </i>
    <i>
      <x v="19"/>
    </i>
    <i>
      <x v="20"/>
    </i>
    <i>
      <x v="21"/>
    </i>
  </rowItems>
  <colFields count="1">
    <field x="-2"/>
  </colFields>
  <colItems count="4">
    <i>
      <x/>
    </i>
    <i i="1">
      <x v="1"/>
    </i>
    <i i="2">
      <x v="2"/>
    </i>
    <i i="3">
      <x v="3"/>
    </i>
  </colItems>
  <pageFields count="2">
    <pageField fld="0" hier="11" name="[invoice].[نام مشتری].&amp;[طوس قزوین]" cap="طوس قزوین"/>
    <pageField fld="7" hier="18" name="[invoice].[نوع سفارش].&amp;[بورس]" cap="بورس"/>
  </pageFields>
  <dataFields count="4">
    <dataField name="Sum of میزان سفارش" fld="4" baseField="0" baseItem="0"/>
    <dataField name=" پیش فاکتور فی" fld="5" subtotal="average" baseField="3" baseItem="0"/>
    <dataField name="Sum of میزان بارگیری شده" fld="2" baseField="0" baseItem="0"/>
    <dataField name="فی" fld="6" subtotal="average" baseField="3" baseItem="0"/>
  </dataFields>
  <formats count="10">
    <format dxfId="1053">
      <pivotArea type="all" dataOnly="0" outline="0" fieldPosition="0"/>
    </format>
    <format dxfId="1052">
      <pivotArea outline="0" collapsedLevelsAreSubtotals="1" fieldPosition="0"/>
    </format>
    <format dxfId="1051">
      <pivotArea field="3" type="button" dataOnly="0" labelOnly="1" outline="0" axis="axisRow" fieldPosition="0"/>
    </format>
    <format dxfId="1050">
      <pivotArea dataOnly="0" labelOnly="1" fieldPosition="0">
        <references count="1">
          <reference field="3" count="0"/>
        </references>
      </pivotArea>
    </format>
    <format dxfId="1049">
      <pivotArea dataOnly="0" labelOnly="1" outline="0" fieldPosition="0">
        <references count="1">
          <reference field="4294967294" count="4">
            <x v="0"/>
            <x v="1"/>
            <x v="2"/>
            <x v="3"/>
          </reference>
        </references>
      </pivotArea>
    </format>
    <format dxfId="1048">
      <pivotArea type="all" dataOnly="0" outline="0" fieldPosition="0"/>
    </format>
    <format dxfId="1047">
      <pivotArea outline="0" collapsedLevelsAreSubtotals="1" fieldPosition="0"/>
    </format>
    <format dxfId="1046">
      <pivotArea field="3" type="button" dataOnly="0" labelOnly="1" outline="0" axis="axisRow" fieldPosition="0"/>
    </format>
    <format dxfId="1045">
      <pivotArea dataOnly="0" labelOnly="1" fieldPosition="0">
        <references count="1">
          <reference field="3" count="0"/>
        </references>
      </pivotArea>
    </format>
    <format dxfId="1044">
      <pivotArea dataOnly="0" labelOnly="1" outline="0" fieldPosition="0">
        <references count="1">
          <reference field="4294967294" count="4">
            <x v="0"/>
            <x v="1"/>
            <x v="2"/>
            <x v="3"/>
          </reference>
        </references>
      </pivotArea>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voice].[نام مشتری].&amp;[طوس قزوین]"/>
      </members>
    </pivotHierarchy>
    <pivotHierarchy dragToData="1"/>
    <pivotHierarchy dragToData="1"/>
    <pivotHierarchy dragToData="1"/>
    <pivotHierarchy dragToData="1"/>
    <pivotHierarchy dragToData="1"/>
    <pivotHierarchy dragToData="1"/>
    <pivotHierarchy multipleItemSelectionAllowed="1" dragToData="1">
      <members count="4" level="1">
        <member name="[invoice].[نوع سفارش].&amp;[بورس]"/>
        <member name="[invoice].[نوع سفارش].&amp;[عادی]"/>
        <member name="[invoice].[نوع سفارش].&amp;[انجمن]"/>
        <member name="[invoice].[نوع سفارش].&amp;[تعادلی]"/>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voice2].[نام مشتری].&amp;[طوس سبزوار]"/>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بارگیری شده"/>
    <pivotHierarchy dragToData="1"/>
    <pivotHierarchy dragToData="1" caption="میزان سفارش"/>
    <pivotHierarchy dragToData="1"/>
    <pivotHierarchy dragToData="1"/>
    <pivotHierarchy dragToData="1" caption=" پیش فاکتور فی"/>
    <pivotHierarchy dragToData="1" caption="فی"/>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سفارش"/>
    <pivotHierarchy dragToData="1"/>
    <pivotHierarchy dragToData="1"/>
    <pivotHierarchy dragToData="1" caption="Average of فی"/>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
        <x15:activeTabTopLevelEntity name="[bargiri]"/>
        <x15:activeTabTopLevelEntity name="[invoice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BE4D81E-81BF-4FBB-9BE4-F4C0683D0E73}" name="PivotTable3" cacheId="378" applyNumberFormats="0" applyBorderFormats="0" applyFontFormats="0" applyPatternFormats="0" applyAlignmentFormats="0" applyWidthHeightFormats="1" dataCaption="Values" tag="8c99efcd-b569-44f8-98a1-d0463c26ed6b" updatedVersion="8" minRefreshableVersion="3" useAutoFormatting="1" subtotalHiddenItems="1" rowGrandTotals="0" colGrandTotals="0" itemPrintTitles="1" createdVersion="6" indent="0" outline="1" outlineData="1" multipleFieldFilters="0" rowHeaderCaption="شماره پیش فاکتور">
  <location ref="K19:T20" firstHeaderRow="0" firstDataRow="1" firstDataCol="0" rowPageCount="1" colPageCount="1"/>
  <pivotFields count="12">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Items count="1">
    <i/>
  </rowItems>
  <colFields count="1">
    <field x="-2"/>
  </colFields>
  <colItems count="10">
    <i>
      <x/>
    </i>
    <i i="1">
      <x v="1"/>
    </i>
    <i i="2">
      <x v="2"/>
    </i>
    <i i="3">
      <x v="3"/>
    </i>
    <i i="4">
      <x v="4"/>
    </i>
    <i i="5">
      <x v="5"/>
    </i>
    <i i="6">
      <x v="6"/>
    </i>
    <i i="7">
      <x v="7"/>
    </i>
    <i i="8">
      <x v="8"/>
    </i>
    <i i="9">
      <x v="9"/>
    </i>
  </colItems>
  <pageFields count="1">
    <pageField fld="11" hier="21" name="[invoice].[کمکی].&amp;[1]" cap="1"/>
  </pageFields>
  <dataFields count="10">
    <dataField name="تعداد مشتری" fld="5" subtotal="count" baseField="0" baseItem="1">
      <extLst>
        <ext xmlns:x15="http://schemas.microsoft.com/office/spreadsheetml/2010/11/main" uri="{FABC7310-3BB5-11E1-824E-6D434824019B}">
          <x15:dataField isCountDistinct="1"/>
        </ext>
      </extLst>
    </dataField>
    <dataField name="تعداد پیش فاکتور" fld="4" subtotal="count" baseField="0" baseItem="0"/>
    <dataField name="تعداد بارگیری" fld="6" subtotal="count" baseField="0" baseItem="0" numFmtId="166"/>
    <dataField name="میزان سفارش" fld="2" baseField="0" baseItem="4" numFmtId="168"/>
    <dataField name="میزان بارگیری شده" fld="0" baseField="0" baseItem="4" numFmtId="168"/>
    <dataField name="میانگین فی" fld="1" subtotal="average" baseField="3" baseItem="0" numFmtId="166"/>
    <dataField name="میانگین سفارش" fld="8" subtotal="average" baseField="0" baseItem="6" numFmtId="169"/>
    <dataField name="میانگین بارگیری" fld="7" subtotal="average" baseField="0" baseItem="7" numFmtId="169"/>
    <dataField name="انحراف بارگیری" fld="9" subtotal="stdDev" baseField="0" baseItem="8" numFmtId="169"/>
    <dataField name="انحراف سفارش" fld="10" subtotal="stdDevp" baseField="0" baseItem="8" numFmtId="169"/>
  </dataFields>
  <formats count="16">
    <format dxfId="1069">
      <pivotArea outline="0" collapsedLevelsAreSubtotals="1" fieldPosition="0">
        <references count="1">
          <reference field="4294967294" count="1" selected="0">
            <x v="5"/>
          </reference>
        </references>
      </pivotArea>
    </format>
    <format dxfId="1068">
      <pivotArea outline="0" collapsedLevelsAreSubtotals="1" fieldPosition="0">
        <references count="1">
          <reference field="4294967294" count="3" selected="0">
            <x v="2"/>
            <x v="3"/>
            <x v="4"/>
          </reference>
        </references>
      </pivotArea>
    </format>
    <format dxfId="1067">
      <pivotArea outline="0" collapsedLevelsAreSubtotals="1" fieldPosition="0">
        <references count="1">
          <reference field="4294967294" count="1" selected="0">
            <x v="7"/>
          </reference>
        </references>
      </pivotArea>
    </format>
    <format dxfId="1066">
      <pivotArea outline="0" collapsedLevelsAreSubtotals="1" fieldPosition="0">
        <references count="1">
          <reference field="4294967294" count="1" selected="0">
            <x v="6"/>
          </reference>
        </references>
      </pivotArea>
    </format>
    <format dxfId="1065">
      <pivotArea outline="0" fieldPosition="0">
        <references count="1">
          <reference field="4294967294" count="1">
            <x v="3"/>
          </reference>
        </references>
      </pivotArea>
    </format>
    <format dxfId="1064">
      <pivotArea outline="0" fieldPosition="0">
        <references count="1">
          <reference field="4294967294" count="1">
            <x v="4"/>
          </reference>
        </references>
      </pivotArea>
    </format>
    <format dxfId="1063">
      <pivotArea outline="0" fieldPosition="0">
        <references count="1">
          <reference field="4294967294" count="1">
            <x v="6"/>
          </reference>
        </references>
      </pivotArea>
    </format>
    <format dxfId="1062">
      <pivotArea outline="0" fieldPosition="0">
        <references count="1">
          <reference field="4294967294" count="1">
            <x v="7"/>
          </reference>
        </references>
      </pivotArea>
    </format>
    <format dxfId="1061">
      <pivotArea outline="0" fieldPosition="0">
        <references count="1">
          <reference field="4294967294" count="1">
            <x v="9"/>
          </reference>
        </references>
      </pivotArea>
    </format>
    <format dxfId="1060">
      <pivotArea outline="0" fieldPosition="0">
        <references count="1">
          <reference field="4294967294" count="1">
            <x v="8"/>
          </reference>
        </references>
      </pivotArea>
    </format>
    <format dxfId="1059">
      <pivotArea type="all" dataOnly="0" outline="0" fieldPosition="0"/>
    </format>
    <format dxfId="1058">
      <pivotArea outline="0" collapsedLevelsAreSubtotals="1" fieldPosition="0"/>
    </format>
    <format dxfId="1057">
      <pivotArea dataOnly="0" labelOnly="1" outline="0" fieldPosition="0">
        <references count="1">
          <reference field="4294967294" count="10">
            <x v="0"/>
            <x v="1"/>
            <x v="2"/>
            <x v="3"/>
            <x v="4"/>
            <x v="5"/>
            <x v="6"/>
            <x v="7"/>
            <x v="8"/>
            <x v="9"/>
          </reference>
        </references>
      </pivotArea>
    </format>
    <format dxfId="1056">
      <pivotArea type="all" dataOnly="0" outline="0" fieldPosition="0"/>
    </format>
    <format dxfId="1055">
      <pivotArea outline="0" collapsedLevelsAreSubtotals="1" fieldPosition="0"/>
    </format>
    <format dxfId="1054">
      <pivotArea dataOnly="0" labelOnly="1" outline="0" fieldPosition="0">
        <references count="1">
          <reference field="4294967294" count="10">
            <x v="0"/>
            <x v="1"/>
            <x v="2"/>
            <x v="3"/>
            <x v="4"/>
            <x v="5"/>
            <x v="6"/>
            <x v="7"/>
            <x v="8"/>
            <x v="9"/>
          </reference>
        </references>
      </pivotArea>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voice].[نام مشتری].&amp;[تعاونی ماهان گاز]"/>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بارگیری شده"/>
    <pivotHierarchy dragToData="1"/>
    <pivotHierarchy dragToData="1" caption="میزان سفارش"/>
    <pivotHierarchy dragToData="1"/>
    <pivotHierarchy dragToData="1"/>
    <pivotHierarchy dragToData="1"/>
    <pivotHierarchy dragToData="1" caption="میانگین فی"/>
    <pivotHierarchy dragToData="1"/>
    <pivotHierarchy dragToData="1" caption="تعداد بارگیری"/>
    <pivotHierarchy dragToData="1"/>
    <pivotHierarchy dragToData="1" caption="تعداد پیش فاکتور"/>
    <pivotHierarchy dragToData="1"/>
    <pivotHierarchy dragToData="1" caption="Count of نام مشتری"/>
    <pivotHierarchy dragToData="1" caption="تعداد مشتری"/>
    <pivotHierarchy dragToData="1" caption="Distinct Count of تاریخ بارگیری"/>
    <pivotHierarchy dragToData="1" caption="میانگین بارگیری"/>
    <pivotHierarchy dragToData="1" caption="میانگین سفارش"/>
    <pivotHierarchy dragToData="1" caption="انحراف بارگیری"/>
    <pivotHierarchy dragToData="1" caption="StdDev of میزان سفارش"/>
    <pivotHierarchy dragToData="1" caption="انحراف سفارش"/>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
        <x15:activeTabTopLevelEntity name="[bargiri]"/>
        <x15:activeTabTopLevelEntity name="[invoice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D81FFC8-BCFE-44D5-A2FD-80ED018179FF}" name="month" cacheId="387" applyNumberFormats="0" applyBorderFormats="0" applyFontFormats="0" applyPatternFormats="0" applyAlignmentFormats="0" applyWidthHeightFormats="1" dataCaption="Values" tag="3ed8f735-c971-4b57-b08a-87d5ab2dc74c" updatedVersion="8" minRefreshableVersion="3" useAutoFormatting="1" subtotalHiddenItems="1" rowGrandTotals="0" colGrandTotals="0" itemPrintTitles="1" createdVersion="6" indent="0" outline="1" outlineData="1" multipleFieldFilters="0" chartFormat="9" rowHeaderCaption="شماره پیش فاکتور">
  <location ref="BJ7:BL19" firstHeaderRow="0" firstDataRow="1" firstDataCol="1" rowPageCount="1" colPageCount="1"/>
  <pivotFields count="5">
    <pivotField dataField="1" subtotalTop="0" showAll="0" defaultSubtotal="0"/>
    <pivotField allDrilled="1" subtotalTop="0" showAll="0" dataSourceSort="1" defaultSubtotal="0" defaultAttributeDrillState="1"/>
    <pivotField dataField="1" subtotalTop="0" showAll="0" defaultSubtotal="0"/>
    <pivotField axis="axisRow" allDrilled="1" subtotalTop="0" showAll="0" sortType="ascending" defaultSubtotal="0" defaultAttributeDrillState="1">
      <items count="12">
        <item x="0"/>
        <item x="1"/>
        <item x="2"/>
        <item x="3"/>
        <item x="4"/>
        <item x="5"/>
        <item x="6"/>
        <item x="7"/>
        <item x="8"/>
        <item x="9"/>
        <item x="10"/>
        <item x="11"/>
      </items>
    </pivotField>
    <pivotField axis="axisPage" allDrilled="1" subtotalTop="0" showAll="0" dataSourceSort="1" defaultSubtotal="0" defaultAttributeDrillState="1">
      <items count="3">
        <item s="1" x="0"/>
        <item x="1"/>
        <item x="2"/>
      </items>
    </pivotField>
  </pivotFields>
  <rowFields count="1">
    <field x="3"/>
  </rowFields>
  <rowItems count="12">
    <i>
      <x/>
    </i>
    <i>
      <x v="1"/>
    </i>
    <i>
      <x v="2"/>
    </i>
    <i>
      <x v="3"/>
    </i>
    <i>
      <x v="4"/>
    </i>
    <i>
      <x v="5"/>
    </i>
    <i>
      <x v="6"/>
    </i>
    <i>
      <x v="7"/>
    </i>
    <i>
      <x v="8"/>
    </i>
    <i>
      <x v="9"/>
    </i>
    <i>
      <x v="10"/>
    </i>
    <i>
      <x v="11"/>
    </i>
  </rowItems>
  <colFields count="1">
    <field x="-2"/>
  </colFields>
  <colItems count="2">
    <i>
      <x/>
    </i>
    <i i="1">
      <x v="1"/>
    </i>
  </colItems>
  <pageFields count="1">
    <pageField fld="4" hier="5" name="[bargiri].[سال].&amp;[1403]" cap="1403"/>
  </pageFields>
  <dataFields count="2">
    <dataField name="میزان بارگیری شده(هزار تن)" fld="0" baseField="3" baseItem="7" numFmtId="168"/>
    <dataField name="تعداد بارگیری" fld="2" subtotal="count" baseField="0" baseItem="0"/>
  </dataFields>
  <formats count="12">
    <format dxfId="1081">
      <pivotArea outline="0" collapsedLevelsAreSubtotals="1" fieldPosition="0">
        <references count="1">
          <reference field="4294967294" count="1" selected="0">
            <x v="0"/>
          </reference>
        </references>
      </pivotArea>
    </format>
    <format dxfId="1080">
      <pivotArea outline="0" fieldPosition="0">
        <references count="1">
          <reference field="4294967294" count="1">
            <x v="0"/>
          </reference>
        </references>
      </pivotArea>
    </format>
    <format dxfId="1079">
      <pivotArea type="all" dataOnly="0" outline="0" fieldPosition="0"/>
    </format>
    <format dxfId="1078">
      <pivotArea outline="0" collapsedLevelsAreSubtotals="1" fieldPosition="0"/>
    </format>
    <format dxfId="1077">
      <pivotArea field="3" type="button" dataOnly="0" labelOnly="1" outline="0" axis="axisRow" fieldPosition="0"/>
    </format>
    <format dxfId="1076">
      <pivotArea dataOnly="0" labelOnly="1" fieldPosition="0">
        <references count="1">
          <reference field="3" count="0"/>
        </references>
      </pivotArea>
    </format>
    <format dxfId="1075">
      <pivotArea dataOnly="0" labelOnly="1" outline="0" fieldPosition="0">
        <references count="1">
          <reference field="4294967294" count="2">
            <x v="0"/>
            <x v="1"/>
          </reference>
        </references>
      </pivotArea>
    </format>
    <format dxfId="1074">
      <pivotArea type="all" dataOnly="0" outline="0" fieldPosition="0"/>
    </format>
    <format dxfId="1073">
      <pivotArea outline="0" collapsedLevelsAreSubtotals="1" fieldPosition="0"/>
    </format>
    <format dxfId="1072">
      <pivotArea field="3" type="button" dataOnly="0" labelOnly="1" outline="0" axis="axisRow" fieldPosition="0"/>
    </format>
    <format dxfId="1071">
      <pivotArea dataOnly="0" labelOnly="1" fieldPosition="0">
        <references count="1">
          <reference field="3" count="0"/>
        </references>
      </pivotArea>
    </format>
    <format dxfId="1070">
      <pivotArea dataOnly="0" labelOnly="1" outline="0" fieldPosition="0">
        <references count="1">
          <reference field="4294967294" count="2">
            <x v="0"/>
            <x v="1"/>
          </reference>
        </references>
      </pivotArea>
    </format>
  </formats>
  <pivotHierarchies count="77">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invoice].[نام مشتری].&amp;[تعاونی ماهان گاز]"/>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بارگیری شده(هزار تن)"/>
    <pivotHierarchy dragToData="1"/>
    <pivotHierarchy dragToData="1" caption="میزان سفارش"/>
    <pivotHierarchy dragToData="1"/>
    <pivotHierarchy dragToData="1"/>
    <pivotHierarchy dragToData="1"/>
    <pivotHierarchy dragToData="1" caption="میانگین فی"/>
    <pivotHierarchy dragToData="1"/>
    <pivotHierarchy dragToData="1" caption="تعداد بارگیری"/>
    <pivotHierarchy dragToData="1" caption="Distinct Count of شماره پیش فاکتور"/>
    <pivotHierarchy dragToData="1" caption="تعداد پیش فاکتور"/>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
        <x15:activeTabTopLevelEntity name="[bargiri]"/>
        <x15:activeTabTopLevelEntity name="[invoice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D219EF4-0CFE-44B4-8FF9-661188EC4030}" name="PivotTable7" cacheId="381" applyNumberFormats="0" applyBorderFormats="0" applyFontFormats="0" applyPatternFormats="0" applyAlignmentFormats="0" applyWidthHeightFormats="1" dataCaption="Values" tag="e0988df4-6dbc-4c8b-84c3-733f34825248" updatedVersion="8" minRefreshableVersion="3" useAutoFormatting="1" subtotalHiddenItems="1" rowGrandTotals="0" colGrandTotals="0" itemPrintTitles="1" createdVersion="6" indent="0" outline="1" outlineData="1" multipleFieldFilters="0" chartFormat="8" rowHeaderCaption="شماره پیش فاکتور">
  <location ref="BO7:BQ19" firstHeaderRow="0" firstDataRow="1" firstDataCol="1" rowPageCount="1" colPageCount="1"/>
  <pivotFields count="6">
    <pivotField allDrilled="1" subtotalTop="0" showAll="0" dataSourceSort="1" defaultSubtotal="0" defaultAttributeDrillState="1"/>
    <pivotField allDrilled="1" subtotalTop="0" showAll="0" sortType="ascending" defaultSubtotal="0" defaultAttributeDrillState="1">
      <items count="12">
        <item x="9"/>
        <item x="2"/>
        <item x="6"/>
        <item x="5"/>
        <item x="10"/>
        <item x="8"/>
        <item x="11"/>
        <item x="0"/>
        <item x="1"/>
        <item x="7"/>
        <item x="4"/>
        <item x="3"/>
      </items>
    </pivotField>
    <pivotField dataField="1" subtotalTop="0" showAll="0" defaultSubtotal="0"/>
    <pivotField axis="axisRow" allDrilled="1" subtotalTop="0" showAll="0" sortType="ascending" defaultSubtotal="0" defaultAttributeDrillState="1">
      <items count="12">
        <item x="0"/>
        <item x="1"/>
        <item x="2"/>
        <item x="3"/>
        <item x="4"/>
        <item x="5"/>
        <item x="6"/>
        <item x="7"/>
        <item x="8"/>
        <item x="9"/>
        <item x="10"/>
        <item x="11"/>
      </items>
    </pivotField>
    <pivotField dataField="1" subtotalTop="0" showAll="0" defaultSubtotal="0"/>
    <pivotField axis="axisPage" allDrilled="1" subtotalTop="0" showAll="0" dataSourceSort="1" defaultSubtotal="0" defaultAttributeDrillState="1"/>
  </pivotFields>
  <rowFields count="1">
    <field x="3"/>
  </rowFields>
  <rowItems count="12">
    <i>
      <x/>
    </i>
    <i>
      <x v="1"/>
    </i>
    <i>
      <x v="2"/>
    </i>
    <i>
      <x v="3"/>
    </i>
    <i>
      <x v="4"/>
    </i>
    <i>
      <x v="5"/>
    </i>
    <i>
      <x v="6"/>
    </i>
    <i>
      <x v="7"/>
    </i>
    <i>
      <x v="8"/>
    </i>
    <i>
      <x v="9"/>
    </i>
    <i>
      <x v="10"/>
    </i>
    <i>
      <x v="11"/>
    </i>
  </rowItems>
  <colFields count="1">
    <field x="-2"/>
  </colFields>
  <colItems count="2">
    <i>
      <x/>
    </i>
    <i i="1">
      <x v="1"/>
    </i>
  </colItems>
  <pageFields count="1">
    <pageField fld="5" hier="5" name="[bargiri].[سال].&amp;[1403]" cap="1403"/>
  </pageFields>
  <dataFields count="2">
    <dataField name="میزان سفارش(هزار تن)" fld="2" baseField="3" baseItem="5" numFmtId="168"/>
    <dataField name="تعداد پیش فاکتور" fld="4" subtotal="count" baseField="0" baseItem="0"/>
  </dataFields>
  <formats count="10">
    <format dxfId="1091">
      <pivotArea type="all" dataOnly="0" outline="0" fieldPosition="0"/>
    </format>
    <format dxfId="1090">
      <pivotArea outline="0" collapsedLevelsAreSubtotals="1" fieldPosition="0"/>
    </format>
    <format dxfId="1089">
      <pivotArea field="3" type="button" dataOnly="0" labelOnly="1" outline="0" axis="axisRow" fieldPosition="0"/>
    </format>
    <format dxfId="1088">
      <pivotArea dataOnly="0" labelOnly="1" fieldPosition="0">
        <references count="1">
          <reference field="3" count="0"/>
        </references>
      </pivotArea>
    </format>
    <format dxfId="1087">
      <pivotArea dataOnly="0" labelOnly="1" outline="0" fieldPosition="0">
        <references count="1">
          <reference field="4294967294" count="2">
            <x v="0"/>
            <x v="1"/>
          </reference>
        </references>
      </pivotArea>
    </format>
    <format dxfId="1086">
      <pivotArea type="all" dataOnly="0" outline="0" fieldPosition="0"/>
    </format>
    <format dxfId="1085">
      <pivotArea outline="0" collapsedLevelsAreSubtotals="1" fieldPosition="0"/>
    </format>
    <format dxfId="1084">
      <pivotArea field="3" type="button" dataOnly="0" labelOnly="1" outline="0" axis="axisRow" fieldPosition="0"/>
    </format>
    <format dxfId="1083">
      <pivotArea dataOnly="0" labelOnly="1" fieldPosition="0">
        <references count="1">
          <reference field="3" count="0"/>
        </references>
      </pivotArea>
    </format>
    <format dxfId="1082">
      <pivotArea dataOnly="0" labelOnly="1" outline="0" fieldPosition="0">
        <references count="1">
          <reference field="4294967294" count="2">
            <x v="0"/>
            <x v="1"/>
          </reference>
        </references>
      </pivotArea>
    </format>
  </formats>
  <pivotHierarchies count="77">
    <pivotHierarchy dragToData="1"/>
    <pivotHierarchy dragToData="1"/>
    <pivotHierarchy dragToData="1"/>
    <pivotHierarchy dragToData="1"/>
    <pivotHierarchy dragToData="1"/>
    <pivotHierarchy multipleItemSelectionAllowed="1" dragToData="1">
      <members count="1" level="1">
        <member name="[bargiri].[سال].&amp;[1403]"/>
      </members>
    </pivotHierarchy>
    <pivotHierarchy dragToData="1"/>
    <pivotHierarchy dragToData="1"/>
    <pivotHierarchy dragToData="1"/>
    <pivotHierarchy dragToData="1"/>
    <pivotHierarchy dragToData="1"/>
    <pivotHierarchy multipleItemSelectionAllowed="1" dragToData="1">
      <members count="1" level="1">
        <member name="[invoice].[نام مشتری].&amp;[تعاونی ماهان گاز]"/>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بارگیری شده(هزار تن)"/>
    <pivotHierarchy dragToData="1"/>
    <pivotHierarchy dragToData="1" caption="میزان سفارش(هزار تن)"/>
    <pivotHierarchy dragToData="1"/>
    <pivotHierarchy dragToData="1"/>
    <pivotHierarchy dragToData="1"/>
    <pivotHierarchy dragToData="1" caption="میانگین فی"/>
    <pivotHierarchy dragToData="1"/>
    <pivotHierarchy dragToData="1" caption="تعداد بارگیری"/>
    <pivotHierarchy dragToData="1" caption="Distinct Count of شماره پیش فاکتور"/>
    <pivotHierarchy dragToData="1" caption="تعداد پیش فاکتور"/>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invoice]"/>
        <x15:activeTabTopLevelEntity name="[bargiri]"/>
        <x15:activeTabTopLevelEntity name="[invoice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A4E08B6-F72D-4E41-B924-3CA604C1084D}" name="PivotTable1" cacheId="0" applyNumberFormats="0" applyBorderFormats="0" applyFontFormats="0" applyPatternFormats="0" applyAlignmentFormats="0" applyWidthHeightFormats="1" dataCaption="Values" tag="d0b1dd00-fb0f-41fd-b834-2b5192085c50" updatedVersion="8" minRefreshableVersion="3" useAutoFormatting="1" subtotalHiddenItems="1" rowGrandTotals="0" colGrandTotals="0" itemPrintTitles="1" createdVersion="6" indent="0" outline="1" outlineData="1" multipleFieldFilters="0" rowHeaderCaption="شماره پیش فاکتور">
  <location ref="CC8:CE9" firstHeaderRow="0" firstDataRow="1" firstDataCol="1" rowPageCount="2" colPageCount="1"/>
  <pivotFields count="6">
    <pivotField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
        <item x="0"/>
      </items>
    </pivotField>
    <pivotField dataField="1" subtotalTop="0" showAll="0" defaultSubtotal="0"/>
    <pivotField axis="axisPage" allDrilled="1" subtotalTop="0" showAll="0" dataSourceSort="1" defaultSubtotal="0" defaultAttributeDrillState="1"/>
  </pivotFields>
  <rowFields count="1">
    <field x="3"/>
  </rowFields>
  <rowItems count="1">
    <i>
      <x/>
    </i>
  </rowItems>
  <colFields count="1">
    <field x="-2"/>
  </colFields>
  <colItems count="2">
    <i>
      <x/>
    </i>
    <i i="1">
      <x v="1"/>
    </i>
  </colItems>
  <pageFields count="2">
    <pageField fld="1" hier="27" name="[invoice2].[نام مشتری].&amp;[ارومیه گاز]" cap="ارومیه گاز"/>
    <pageField fld="5" hier="34" name="[invoice2].[نوع].&amp;[بورس]" cap="بورس"/>
  </pageFields>
  <dataFields count="2">
    <dataField name="Sum of میزان سفارش" fld="2" baseField="0" baseItem="0" numFmtId="166"/>
    <dataField name="Average of فی" fld="4" subtotal="average" baseField="3" baseItem="0" numFmtId="166"/>
  </dataFields>
  <formats count="12">
    <format dxfId="1103">
      <pivotArea outline="0" collapsedLevelsAreSubtotals="1" fieldPosition="0">
        <references count="1">
          <reference field="4294967294" count="1" selected="0">
            <x v="0"/>
          </reference>
        </references>
      </pivotArea>
    </format>
    <format dxfId="1102">
      <pivotArea outline="0" collapsedLevelsAreSubtotals="1" fieldPosition="0">
        <references count="1">
          <reference field="4294967294" count="1" selected="0">
            <x v="1"/>
          </reference>
        </references>
      </pivotArea>
    </format>
    <format dxfId="1101">
      <pivotArea type="all" dataOnly="0" outline="0" fieldPosition="0"/>
    </format>
    <format dxfId="1100">
      <pivotArea outline="0" collapsedLevelsAreSubtotals="1" fieldPosition="0"/>
    </format>
    <format dxfId="1099">
      <pivotArea field="3" type="button" dataOnly="0" labelOnly="1" outline="0" axis="axisRow" fieldPosition="0"/>
    </format>
    <format dxfId="1098">
      <pivotArea dataOnly="0" labelOnly="1" fieldPosition="0">
        <references count="1">
          <reference field="3" count="0"/>
        </references>
      </pivotArea>
    </format>
    <format dxfId="1097">
      <pivotArea dataOnly="0" labelOnly="1" outline="0" fieldPosition="0">
        <references count="1">
          <reference field="4294967294" count="2">
            <x v="0"/>
            <x v="1"/>
          </reference>
        </references>
      </pivotArea>
    </format>
    <format dxfId="1096">
      <pivotArea type="all" dataOnly="0" outline="0" fieldPosition="0"/>
    </format>
    <format dxfId="1095">
      <pivotArea outline="0" collapsedLevelsAreSubtotals="1" fieldPosition="0"/>
    </format>
    <format dxfId="1094">
      <pivotArea field="3" type="button" dataOnly="0" labelOnly="1" outline="0" axis="axisRow" fieldPosition="0"/>
    </format>
    <format dxfId="1093">
      <pivotArea dataOnly="0" labelOnly="1" fieldPosition="0">
        <references count="1">
          <reference field="3" count="0"/>
        </references>
      </pivotArea>
    </format>
    <format dxfId="1092">
      <pivotArea dataOnly="0" labelOnly="1" outline="0" fieldPosition="0">
        <references count="1">
          <reference field="4294967294" count="2">
            <x v="0"/>
            <x v="1"/>
          </reference>
        </references>
      </pivotArea>
    </format>
  </formats>
  <pivotHierarchies count="7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voice].[نام مشتری].&amp;[پارس اکسیر البرز شمالی]"/>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voice2].[نام مشتری].&amp;[ارومیه گاز]"/>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بارگیری شده"/>
    <pivotHierarchy dragToData="1"/>
    <pivotHierarchy dragToData="1" caption="میزان سفارش"/>
    <pivotHierarchy dragToData="1"/>
    <pivotHierarchy dragToData="1"/>
    <pivotHierarchy dragToData="1"/>
    <pivotHierarchy dragToData="1" caption="میانگین فی"/>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میزان سفارش"/>
    <pivotHierarchy dragToData="1"/>
    <pivotHierarchy dragToData="1"/>
    <pivotHierarchy dragToData="1" caption="Average of فی"/>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
        <x15:activeTabTopLevelEntity name="[bargiri]"/>
        <x15:activeTabTopLevelEntity name="[invoice2]"/>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4312F647-4DA0-4177-99D9-A39963F7CC81}" autoFormatId="16" applyNumberFormats="0" applyBorderFormats="0" applyFontFormats="0" applyPatternFormats="0" applyAlignmentFormats="0" applyWidthHeightFormats="0">
  <queryTableRefresh nextId="19" unboundColumnsRight="2">
    <queryTableFields count="9">
      <queryTableField id="1" name="تاریخ بارگیری" tableColumnId="1"/>
      <queryTableField id="2" name="نام مشتری" tableColumnId="2"/>
      <queryTableField id="13" name="شماره پیش فاکتور" tableColumnId="3"/>
      <queryTableField id="14" name="میزان بارگیری شده" tableColumnId="4"/>
      <queryTableField id="5" name="فی" tableColumnId="5"/>
      <queryTableField id="7" name="سال" tableColumnId="7"/>
      <queryTableField id="6" name="ماه" tableColumnId="6"/>
      <queryTableField id="17" dataBound="0" tableColumnId="8"/>
      <queryTableField id="18" dataBound="0" tableColumnId="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نام_مشتری" xr10:uid="{953797E4-5297-46D3-A87B-8859209D601A}" sourceName="[invoice].[نام مشتری]">
  <pivotTables>
    <pivotTable tabId="22" name="PivotTable2"/>
    <pivotTable tabId="22" name="customer"/>
    <pivotTable tabId="22" name="customer_details"/>
  </pivotTables>
  <data>
    <olap pivotCacheId="419813161">
      <levels count="2">
        <level uniqueName="[invoice].[نام مشتری].[(All)]" sourceCaption="(All)" count="0"/>
        <level uniqueName="[invoice].[نام مشتری].[نام مشتری]" sourceCaption="نام مشتری" count="30" sortOrder="ascending">
          <ranges>
            <range startItem="0">
              <i n="[invoice].[نام مشتری].&amp;[آیس کار]" c="آیس کار"/>
              <i n="[invoice].[نام مشتری].&amp;[اکسیژن ارومیه گاز]" c="اکسیژن ارومیه گاز"/>
              <i n="[invoice].[نام مشتری].&amp;[پارس اکسیر البرز شمالی]" c="پارس اکسیر البرز شمالی"/>
              <i n="[invoice].[نام مشتری].&amp;[پارس کربنیک کردستان]" c="پارس کربنیک کردستان"/>
              <i n="[invoice].[نام مشتری].&amp;[پاینده ساز فردوس]" c="پاینده ساز فردوس"/>
              <i n="[invoice].[نام مشتری].&amp;[تعاونی ماهان گاز]" c="تعاونی ماهان گاز"/>
              <i n="[invoice].[نام مشتری].&amp;[تولید گازهای طبی و صنعتی مددکاران اصفهان]" c="تولید گازهای طبی و صنعتی مددکاران اصفهان"/>
              <i n="[invoice].[نام مشتری].&amp;[تولیدی گازهای طبی و صنعتی طوس سبزوار]" c="تولیدی گازهای طبی و صنعتی طوس سبزوار"/>
              <i n="[invoice].[نام مشتری].&amp;[جوش شیرین خراسان]" c="جوش شیرین خراسان"/>
              <i n="[invoice].[نام مشتری].&amp;[خوش نوش همدان]" c="خوش نوش همدان"/>
              <i n="[invoice].[نام مشتری].&amp;[رایا شیمی پارسیان]" c="رایا شیمی پارسیان"/>
              <i n="[invoice].[نام مشتری].&amp;[رهام گاز]" c="رهام گاز"/>
              <i n="[invoice].[نام مشتری].&amp;[سپهر سرمد]" c="سپهر سرمد"/>
              <i n="[invoice].[نام مشتری].&amp;[سهیل گاز کاسپین]" c="سهیل گاز کاسپین"/>
              <i n="[invoice].[نام مشتری].&amp;[شرکت امین گاز ایرانیان]" c="شرکت امین گاز ایرانیان"/>
              <i n="[invoice].[نام مشتری].&amp;[شرکت دیبا گاز پارسه]" c="شرکت دیبا گاز پارسه"/>
              <i n="[invoice].[نام مشتری].&amp;[شرکت گروه صنعتی پاژ گاز خراسان]" c="شرکت گروه صنعتی پاژ گاز خراسان"/>
              <i n="[invoice].[نام مشتری].&amp;[طاها اندیشان همپای البرز]" c="طاها اندیشان همپای البرز"/>
              <i n="[invoice].[نام مشتری].&amp;[طوس قزوین]" c="طوس قزوین"/>
              <i n="[invoice].[نام مشتری].&amp;[عبیر شیمی]" c="عبیر شیمی"/>
              <i n="[invoice].[نام مشتری].&amp;[عراق اربیل]" c="عراق اربیل"/>
              <i n="[invoice].[نام مشتری].&amp;[فرافن گاز تهران]" c="فرافن گاز تهران"/>
              <i n="[invoice].[نام مشتری].&amp;[کوشا تجارت زاگرس]" c="کوشا تجارت زاگرس"/>
              <i n="[invoice].[نام مشتری].&amp;[گاز اکسیژن طوس]" c="گاز اکسیژن طوس"/>
              <i n="[invoice].[نام مشتری].&amp;[گاز کربنیک غرب]" c="گاز کربنیک غرب"/>
              <i n="[invoice].[نام مشتری].&amp;[گروه صنایع شیمیایی به آفرین گاز تیسفون]" c="گروه صنایع شیمیایی به آفرین گاز تیسفون"/>
              <i n="[invoice].[نام مشتری].&amp;[محمود احمدی زلتی]" c="محمود احمدی زلتی"/>
              <i n="[invoice].[نام مشتری].&amp;[طاهر افروز همپای البرز]" c="طاهر افروز همپای البرز" nd="1"/>
              <i n="[invoice].[نام مشتری].&amp;[ماشین سازی پیشتازان گاز کربنیک اردستان]" c="ماشین سازی پیشتازان گاز کربنیک اردستان" nd="1"/>
              <i n="[invoice].[نام مشتری].&amp;[میثاق گاز فراز کرج]" c="میثاق گاز فراز کرج" nd="1"/>
            </range>
          </ranges>
        </level>
      </levels>
      <selections count="1">
        <selection n="[invoice].[نام مشتری].&amp;[طوس قزوین]"/>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نام مشتری" xr10:uid="{5F28E37F-52A8-4E01-B290-195E47790EF6}" cache="Slicer_نام_مشتری" caption="نام مشتری" startItem="3" showCaption="0" level="1" style="myslicer" rowHeight="23495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F6F9BF5-F306-4143-9096-B151FA8622FB}" name="Table5" displayName="Table5" ref="A1:G20" totalsRowShown="0" headerRowDxfId="1146">
  <autoFilter ref="A1:G20" xr:uid="{CF6F9BF5-F306-4143-9096-B151FA8622FB}"/>
  <tableColumns count="7">
    <tableColumn id="1" xr3:uid="{5B7CEF54-9D95-44C4-9C07-F65E2E89B8DA}" name="ردیف"/>
    <tableColumn id="2" xr3:uid="{24C86490-201C-497D-8DF6-FFC3A0BA76E8}" name="شماره عرضه" dataDxfId="1145"/>
    <tableColumn id="3" xr3:uid="{B4911649-6FD2-4302-8F2A-B54FD9969197}" name="تاریخ عرضه"/>
    <tableColumn id="4" xr3:uid="{C3A87052-0DDB-4BEC-9820-3570A289B2AB}" name="میزان عرضه"/>
    <tableColumn id="5" xr3:uid="{DEB2963F-F7CB-4DDA-8ABF-E163404F35D6}" name="قیمت (ریال)" dataDxfId="1144" dataCellStyle="Comma 2"/>
    <tableColumn id="6" xr3:uid="{3B292512-5999-40DA-B881-BDB4DDE03543}" name="سال" dataDxfId="1143">
      <calculatedColumnFormula>VALUE(LEFT(Table5[[#This Row],[تاریخ عرضه]],4))</calculatedColumnFormula>
    </tableColumn>
    <tableColumn id="7" xr3:uid="{EC1D4C80-5AC6-40EB-957D-96BA538620DF}" name="ماه" dataDxfId="1142">
      <calculatedColumnFormula>VALUE(MID(Table5[[#This Row],[تاریخ عرضه]],6,2))</calculatedColumnFormula>
    </tableColumn>
  </tableColumns>
  <tableStyleInfo name="CustomTableSty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654E299-792E-49DC-9C57-A00483766B4B}" name="invoice" displayName="invoice" ref="A1:O157" totalsRowShown="0" headerRowDxfId="1141" dataDxfId="1140" dataCellStyle="Normal 2">
  <autoFilter ref="A1:O157" xr:uid="{F3DDEA36-3CA0-47C4-9919-E1798D6BF93E}"/>
  <sortState xmlns:xlrd2="http://schemas.microsoft.com/office/spreadsheetml/2017/richdata2" ref="A2:L110">
    <sortCondition ref="C1:C110"/>
  </sortState>
  <tableColumns count="15">
    <tableColumn id="1" xr3:uid="{D5CA3E9E-9D8A-45A6-8ED9-5450E263C8CF}" name="شماره پیش فاکتور" dataDxfId="1139" dataCellStyle="Normal 2"/>
    <tableColumn id="2" xr3:uid="{0464FB85-980C-4748-9B96-45FB589F455E}" name="نام مشتری" dataDxfId="1138" dataCellStyle="Normal 2"/>
    <tableColumn id="5" xr3:uid="{6BFB1F9E-B3AD-41A5-9BB2-9B53D8DE6585}" name="تاریخ" dataDxfId="1137" dataCellStyle="Normal 2"/>
    <tableColumn id="6" xr3:uid="{02158E8C-6E4C-4D35-A6E5-D28ACC314B81}" name="تاریخ مجوز بهره برداری" dataDxfId="1136" dataCellStyle="Normal 2"/>
    <tableColumn id="3" xr3:uid="{005753A6-D2AF-4F98-BABC-5F840A7A9FED}" name="میزان سفارش" dataDxfId="1135" dataCellStyle="Normal 2"/>
    <tableColumn id="4" xr3:uid="{87B5B729-101B-4D34-924E-03A6727991E5}" name="فی" dataDxfId="1134" dataCellStyle="Normal 2"/>
    <tableColumn id="7" xr3:uid="{4833F7BE-8D1F-4C32-9650-18E570EAD04A}" name="ماه" dataDxfId="1133" dataCellStyle="Normal 2">
      <calculatedColumnFormula>CHOOSE(MID(invoice[[#This Row],[تاریخ]],6,2),"فروردین","اردیبهشت","خرداد","تیر","مرداد","شهریور","مهر","آبان","آذر","دی","بهمن","اسفند")</calculatedColumnFormula>
    </tableColumn>
    <tableColumn id="8" xr3:uid="{39450779-4421-415C-ADC8-9D763090AEBA}" name="سال" dataDxfId="1132" dataCellStyle="Normal 2">
      <calculatedColumnFormula>_xlfn.NUMBERVALUE(MID(invoice[[#This Row],[تاریخ]],1,4))</calculatedColumnFormula>
    </tableColumn>
    <tableColumn id="9" xr3:uid="{71094CE6-6815-4019-B44F-47D318F234CC}" name="نوع سفارش" dataDxfId="1131" dataCellStyle="Normal 2"/>
    <tableColumn id="10" xr3:uid="{E4973DA5-564E-4B44-8DBF-8CEEAF14CB78}" name="نوع شرکت" dataDxfId="1130" dataCellStyle="Normal 2"/>
    <tableColumn id="11" xr3:uid="{5CBBE33C-5476-4B8B-9F82-9BB3CB7CAC86}" name="تاریخ انقضا" dataDxfId="1129" dataCellStyle="Normal 2"/>
    <tableColumn id="12" xr3:uid="{A7221773-CD5F-42FB-9C06-FECC122D8CCD}" name="کمکی" dataDxfId="1128" dataCellStyle="Normal 2">
      <calculatedColumnFormula>IF(invoice[[#This Row],[سال]]=year,1,0)</calculatedColumnFormula>
    </tableColumn>
    <tableColumn id="13" xr3:uid="{CE271DD7-320E-42FD-B906-86DCE3FEE317}" name="درصد مبلغ پیش دریافت" dataDxfId="1127" dataCellStyle="Normal 2"/>
    <tableColumn id="14" xr3:uid="{2AA8FD86-8EF0-45B6-9782-4B78E1F6C441}" name="ارزش افزوده" dataDxfId="1126" dataCellStyle="Normal 2"/>
    <tableColumn id="15" xr3:uid="{EDA090BF-FB6F-4AD4-9CF4-E640FF5DD920}" name="درصد میزان بارگیری شده" dataDxfId="1125" dataCellStyle="Percent">
      <calculatedColumnFormula>SUMIF(bargiri[شماره پیش فاکتور],invoice[[#This Row],[شماره پیش فاکتور]],bargiri[میزان بارگیری شده])/invoice[[#This Row],[میزان سفارش]]</calculatedColumnFormula>
    </tableColumn>
  </tableColumns>
  <tableStyleInfo name="CustomTableSty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945D766-7C40-4BBD-8FBE-25F7B87B6F43}" name="bargiri" displayName="bargiri" ref="A1:I1723" tableType="queryTable" totalsRowShown="0" headerRowDxfId="1124" dataDxfId="1123" headerRowCellStyle="Normal 2">
  <autoFilter ref="A1:I1723" xr:uid="{4F8829E7-17A4-4779-9844-BD4065075B7A}">
    <filterColumn colId="1">
      <filters>
        <filter val="عراق اربیل"/>
      </filters>
    </filterColumn>
  </autoFilter>
  <tableColumns count="9">
    <tableColumn id="1" xr3:uid="{8410B4E8-803C-43AA-A2F7-E697EE506AE7}" uniqueName="1" name="تاریخ بارگیری" queryTableFieldId="1" dataDxfId="522"/>
    <tableColumn id="2" xr3:uid="{2579ADD2-4B43-4F26-939F-640A99D459AF}" uniqueName="2" name="نام مشتری" queryTableFieldId="2" dataDxfId="521"/>
    <tableColumn id="3" xr3:uid="{BD6B04EE-7FA5-430D-8B26-53D06973E897}" uniqueName="3" name="شماره پیش فاکتور" queryTableFieldId="13" dataDxfId="520"/>
    <tableColumn id="4" xr3:uid="{D049B383-B374-441E-BD71-1D283C6505F3}" uniqueName="4" name="میزان بارگیری شده" queryTableFieldId="14"/>
    <tableColumn id="5" xr3:uid="{2D43CFFE-EC18-44DB-BDB4-1B3A7B7A77BB}" uniqueName="5" name="فی" queryTableFieldId="5" dataDxfId="519" dataCellStyle="Comma"/>
    <tableColumn id="7" xr3:uid="{9B0BC851-9CA1-4959-9C8C-2D536D14D40D}" uniqueName="7" name="سال" queryTableFieldId="7" dataDxfId="518"/>
    <tableColumn id="6" xr3:uid="{B2A7EAAC-AD9B-4903-B172-9A731C433A2F}" uniqueName="6" name="ماه" queryTableFieldId="6" dataDxfId="517"/>
    <tableColumn id="8" xr3:uid="{F477D527-F063-469C-8B04-EB6F882DC7DE}" uniqueName="8" name="قیمت کل بار" queryTableFieldId="17" dataDxfId="516">
      <calculatedColumnFormula>bargiri[[#This Row],[میزان بارگیری شده]]*bargiri[[#This Row],[فی]]</calculatedColumnFormula>
    </tableColumn>
    <tableColumn id="9" xr3:uid="{9006A32B-9240-4EAC-B1F5-2FD5CC7A9BC3}" uniqueName="9" name="کمکی2" queryTableFieldId="18" dataDxfId="515">
      <calculatedColumnFormula>IF(year=bargiri[[#This Row],[سال]],1,0)</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846066F-7AC9-4585-B34B-73984D75C15C}" name="Table4" displayName="Table4" ref="M1:M2" totalsRowShown="0" headerRowDxfId="1122" dataDxfId="1121" headerRowCellStyle="Normal 2" dataCellStyle="Normal 2">
  <autoFilter ref="M1:M2" xr:uid="{7198342A-7C70-4FEB-A447-B44172F8943E}">
    <filterColumn colId="0" hiddenButton="1"/>
  </autoFilter>
  <tableColumns count="1">
    <tableColumn id="1" xr3:uid="{46687D85-543C-4BE6-BD9A-E68F5159C75E}" name="آدرس فایل" dataDxfId="1120" dataCellStyle="Normal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EFBAFB-BDA7-4074-B0FB-37E33565F917}" name="invoice2" displayName="invoice2" ref="A1:N45" totalsRowShown="0" headerRowDxfId="1119" dataDxfId="1118">
  <autoFilter ref="A1:N45" xr:uid="{F3DDEA36-3CA0-47C4-9919-E1798D6BF93E}"/>
  <sortState xmlns:xlrd2="http://schemas.microsoft.com/office/spreadsheetml/2017/richdata2" ref="A2:F45">
    <sortCondition ref="B1:B45"/>
  </sortState>
  <tableColumns count="14">
    <tableColumn id="1" xr3:uid="{347D6B8D-81D9-4DD8-80A8-19BBD4AD61C9}" name="شماره پیش فاکتور" dataDxfId="1117"/>
    <tableColumn id="2" xr3:uid="{B7DE863E-C0EA-47B9-BB06-F32D0D973B49}" name="نام مشتری" dataDxfId="1116"/>
    <tableColumn id="5" xr3:uid="{5D9F29B5-C895-4A84-9DF8-738ADE3FE253}" name="تاریخ" dataDxfId="1115" dataCellStyle="Normal 2"/>
    <tableColumn id="6" xr3:uid="{6C5255BD-7528-4312-B19E-883096B96CF6}" name="تاریخ مجوز بهره برداری" dataDxfId="1114" dataCellStyle="Normal 2"/>
    <tableColumn id="3" xr3:uid="{BC0F89C4-E5D6-42CE-A8CB-5D4F44DC3AF2}" name="میزان سفارش" dataDxfId="1113"/>
    <tableColumn id="4" xr3:uid="{87BE4725-7BB1-49B2-A810-C9175495647F}" name="فی" dataDxfId="1112"/>
    <tableColumn id="7" xr3:uid="{DCCF95F4-8EBE-4C1B-B573-3AF6DAAB4138}" name="حمل شده" dataDxfId="1111" dataCellStyle="Normal 2">
      <calculatedColumnFormula>SUMIF(#REF!,invoice2[[#This Row],[شماره پیش فاکتور]],#REF!)</calculatedColumnFormula>
    </tableColumn>
    <tableColumn id="8" xr3:uid="{1926E1AC-60B4-4442-9527-5A7C7BCA6EA6}" name="مانده" dataDxfId="1110" dataCellStyle="Normal 2">
      <calculatedColumnFormula>invoice2[[#This Row],[میزان سفارش]]-invoice2[[#This Row],[حمل شده]]</calculatedColumnFormula>
    </tableColumn>
    <tableColumn id="9" xr3:uid="{DACCB46C-C479-4CB7-B6D2-F9F9AB121C18}" name="نوع " dataDxfId="1109" dataCellStyle="Normal 2"/>
    <tableColumn id="10" xr3:uid="{84B11282-1160-4DAE-869B-B5B7A69E05E1}" name="شش ماهه اول" dataDxfId="1108" dataCellStyle="Normal 2">
      <calculatedColumnFormula>invoice2[[#This Row],[مانده]]*0.6</calculatedColumnFormula>
    </tableColumn>
    <tableColumn id="12" xr3:uid="{9A32A755-178C-45E3-9052-C8D8396A33DB}" name="توزیع هفتگی" dataDxfId="1107" dataCellStyle="Normal 2"/>
    <tableColumn id="13" xr3:uid="{668EC1AD-C8C7-454C-8B85-32E280E0A373}" name="شش ماهه دوم" dataDxfId="1106" dataCellStyle="Normal 2"/>
    <tableColumn id="11" xr3:uid="{3F32094E-D59E-42DB-9461-C0B3D3CC15B8}" name="توزیع هفتگی2" dataDxfId="1105" dataCellStyle="Normal 2"/>
    <tableColumn id="14" xr3:uid="{FA801624-ACF6-420F-8E17-5D683A8C387C}" name="توضیحات" dataDxfId="1104" dataCellStyle="Normal 2"/>
  </tableColumns>
  <tableStyleInfo name="CustomTableSty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1CA1844-AABF-4C26-B380-3277DA8CB835}" name="Table7" displayName="Table7" ref="AW6:AX49" totalsRowShown="0" headerRowDxfId="988">
  <autoFilter ref="AW6:AX49" xr:uid="{91CA1844-AABF-4C26-B380-3277DA8CB835}"/>
  <sortState xmlns:xlrd2="http://schemas.microsoft.com/office/spreadsheetml/2017/richdata2" ref="AW7:AX49">
    <sortCondition descending="1" ref="AX6:AX49"/>
  </sortState>
  <tableColumns count="2">
    <tableColumn id="1" xr3:uid="{F0C131F6-BF09-415F-98A9-2D2A73AA2C5D}" name="نام مشتری" dataDxfId="987" dataCellStyle="Percent">
      <calculatedColumnFormula>IF(AN7&lt;&gt;"",AN7,"")</calculatedColumnFormula>
    </tableColumn>
    <tableColumn id="2" xr3:uid="{72F8A0E3-49E9-48A8-9149-7799AC71769E}" name="Column1" dataDxfId="986" dataCellStyle="Percent">
      <calculatedColumnFormula>IFERROR(SUMIFS(invoice[میزان سفارش],invoice[سال],calc!$AX$5,invoice[نام مشتری],calc!AW7)+IFERROR(SUMIFS(invoice[میزان سفارش],invoice[سال],(calc!$AX$5)-1,invoice[نام مشتری],calc!AW7),0)-SUMIFS(bargiri[میزان بارگیری شده],bargiri[نام مشتری],calc!AW7,bargiri[سال],(calc!$AX$5)-1),"")</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5F27CE2-6FDC-4199-9162-946F9FDAC732}" name="Table134" displayName="Table134" ref="A2:G17" totalsRowCount="1" headerRowDxfId="985" dataDxfId="983" totalsRowDxfId="981" headerRowBorderDxfId="984" tableBorderDxfId="982" totalsRowBorderDxfId="980">
  <sortState xmlns:xlrd2="http://schemas.microsoft.com/office/spreadsheetml/2017/richdata2" ref="A3:F16">
    <sortCondition ref="A2:A16"/>
  </sortState>
  <tableColumns count="7">
    <tableColumn id="1" xr3:uid="{09FC9924-4256-4E9D-B42D-D74D0BC581BE}" name="ردیف" dataDxfId="979" totalsRowDxfId="978" dataCellStyle="Normal 2 2" totalsRowCellStyle="Normal 2 2"/>
    <tableColumn id="2" xr3:uid="{DF60E583-D2FB-4E59-89C4-E60900568957}" name="نام مشتری" totalsRowLabel="جمع" dataDxfId="977" totalsRowDxfId="976" dataCellStyle="Normal 2 2" totalsRowCellStyle="Normal 2 2"/>
    <tableColumn id="15" xr3:uid="{0AB05A51-7AC7-42E1-B420-DBA118CA38F5}" name="میزان سفارش (کیلوگرم)" totalsRowFunction="sum" dataDxfId="975" totalsRowDxfId="974" dataCellStyle="Normal 2" totalsRowCellStyle="Normal 2"/>
    <tableColumn id="14" xr3:uid="{D7826A33-B1A4-4304-8C02-DAD93AE513EE}" name="تحویل شش ماهه اول" totalsRowFunction="sum" dataDxfId="973" totalsRowDxfId="972" dataCellStyle="Normal 2 2" totalsRowCellStyle="Normal 2">
      <calculatedColumnFormula>Table134[[#This Row],[میزان سفارش (کیلوگرم)]]*0.6</calculatedColumnFormula>
    </tableColumn>
    <tableColumn id="3" xr3:uid="{BDDC791B-4735-44D6-B27D-754E7B164B1A}" name="توزیع هفتگی" totalsRowFunction="sum" dataDxfId="971" totalsRowDxfId="970" dataCellStyle="Normal 2 2" totalsRowCellStyle="Normal 2">
      <calculatedColumnFormula>Table134[[#This Row],[تحویل شش ماهه اول]]/24</calculatedColumnFormula>
    </tableColumn>
    <tableColumn id="13" xr3:uid="{1723BF0F-07BB-483D-AE0D-D2E880A810EF}" name="تحویل شش ماهه دوم" totalsRowFunction="sum" dataDxfId="969" totalsRowDxfId="968" dataCellStyle="Normal 2 2" totalsRowCellStyle="Normal 2">
      <calculatedColumnFormula>Table134[[#This Row],[میزان سفارش (کیلوگرم)]]*0.4</calculatedColumnFormula>
    </tableColumn>
    <tableColumn id="4" xr3:uid="{FE79571A-2E92-4924-BA62-FE092768ABB5}" name="توزیع هفتگی." totalsRowFunction="sum" dataDxfId="967" totalsRowDxfId="966" dataCellStyle="Normal 2 2" totalsRowCellStyle="Normal 2">
      <calculatedColumnFormula>Table134[[#This Row],[تحویل شش ماهه دوم]]/24</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sale_carbon">
      <a:dk1>
        <a:srgbClr val="011B41"/>
      </a:dk1>
      <a:lt1>
        <a:srgbClr val="9CC3E5"/>
      </a:lt1>
      <a:dk2>
        <a:srgbClr val="1C2137"/>
      </a:dk2>
      <a:lt2>
        <a:srgbClr val="DEEBEE"/>
      </a:lt2>
      <a:accent1>
        <a:srgbClr val="007C7C"/>
      </a:accent1>
      <a:accent2>
        <a:srgbClr val="FFBF08"/>
      </a:accent2>
      <a:accent3>
        <a:srgbClr val="00AD51"/>
      </a:accent3>
      <a:accent4>
        <a:srgbClr val="C92851"/>
      </a:accent4>
      <a:accent5>
        <a:srgbClr val="5B9BD5"/>
      </a:accent5>
      <a:accent6>
        <a:srgbClr val="7BCB8E"/>
      </a:accent6>
      <a:hlink>
        <a:srgbClr val="4E59C3"/>
      </a:hlink>
      <a:folHlink>
        <a:srgbClr val="E5215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table" Target="../tables/table6.xml"/><Relationship Id="rId5" Type="http://schemas.openxmlformats.org/officeDocument/2006/relationships/pivotTable" Target="../pivotTables/pivotTable5.xml"/><Relationship Id="rId10" Type="http://schemas.openxmlformats.org/officeDocument/2006/relationships/printerSettings" Target="../printerSettings/printerSettings5.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10B6-D32F-498F-8B73-8EC00B323DC4}">
  <sheetPr codeName="Sheet1">
    <tabColor theme="7"/>
  </sheetPr>
  <dimension ref="A1:AN61"/>
  <sheetViews>
    <sheetView showGridLines="0" rightToLeft="1" tabSelected="1" topLeftCell="Q13" zoomScale="80" zoomScaleNormal="80" zoomScaleSheetLayoutView="90" workbookViewId="0">
      <selection activeCell="AF38" sqref="AF38"/>
    </sheetView>
  </sheetViews>
  <sheetFormatPr defaultRowHeight="13.8" x14ac:dyDescent="0.25"/>
  <cols>
    <col min="1" max="1" width="1.796875" customWidth="1"/>
    <col min="2" max="2" width="5.09765625" customWidth="1"/>
    <col min="3" max="3" width="14.09765625" customWidth="1"/>
    <col min="4" max="4" width="11.09765625" customWidth="1"/>
    <col min="5" max="5" width="11.69921875" customWidth="1"/>
    <col min="7" max="7" width="10.69921875" customWidth="1"/>
    <col min="8" max="8" width="9.09765625" customWidth="1"/>
    <col min="9" max="9" width="7.8984375" customWidth="1"/>
    <col min="10" max="10" width="12.09765625" customWidth="1"/>
    <col min="11" max="11" width="5.09765625" customWidth="1"/>
    <col min="12" max="12" width="5" customWidth="1"/>
    <col min="13" max="13" width="17.3984375" bestFit="1" customWidth="1"/>
    <col min="14" max="14" width="14.19921875" customWidth="1"/>
    <col min="15" max="15" width="12.8984375" customWidth="1"/>
    <col min="16" max="16" width="12.19921875" customWidth="1"/>
    <col min="17" max="17" width="11.296875" customWidth="1"/>
    <col min="18" max="18" width="11.09765625" customWidth="1"/>
    <col min="19" max="19" width="10.59765625" customWidth="1"/>
    <col min="20" max="20" width="10.8984375" customWidth="1"/>
    <col min="21" max="21" width="12.296875" customWidth="1"/>
    <col min="22" max="22" width="10.69921875" customWidth="1"/>
    <col min="23" max="23" width="12.59765625" customWidth="1"/>
    <col min="24" max="24" width="4.296875" customWidth="1"/>
    <col min="25" max="25" width="11.796875" customWidth="1"/>
    <col min="26" max="26" width="8.796875" customWidth="1"/>
    <col min="27" max="27" width="11" customWidth="1"/>
    <col min="28" max="28" width="5.3984375" customWidth="1"/>
    <col min="29" max="29" width="2.8984375" customWidth="1"/>
    <col min="30" max="30" width="11.796875" customWidth="1"/>
    <col min="32" max="32" width="16.3984375" customWidth="1"/>
    <col min="33" max="33" width="0.3984375" customWidth="1"/>
    <col min="34" max="36" width="11.19921875" customWidth="1"/>
    <col min="40" max="40" width="12.19921875" bestFit="1" customWidth="1"/>
  </cols>
  <sheetData>
    <row r="1" spans="1:40" ht="18" customHeight="1" x14ac:dyDescent="0.25">
      <c r="A1" s="127"/>
      <c r="B1" s="127"/>
      <c r="C1" s="127"/>
      <c r="D1" s="127"/>
      <c r="E1" s="127"/>
      <c r="F1" s="127"/>
      <c r="G1" s="127"/>
      <c r="H1" s="127"/>
      <c r="I1" s="127"/>
      <c r="J1" s="127"/>
      <c r="K1" s="127"/>
      <c r="L1" s="127"/>
      <c r="M1" s="127"/>
      <c r="N1" s="127"/>
      <c r="O1" s="127"/>
      <c r="P1" s="127"/>
      <c r="Q1" s="127"/>
      <c r="R1" s="127"/>
      <c r="S1" s="127"/>
      <c r="T1" s="127"/>
      <c r="U1" s="138"/>
      <c r="V1" s="138"/>
      <c r="W1" s="138"/>
      <c r="X1" s="138"/>
      <c r="Y1" s="138"/>
      <c r="Z1" s="138"/>
      <c r="AA1" s="138"/>
      <c r="AB1" s="138"/>
      <c r="AC1" s="138"/>
      <c r="AD1" s="138"/>
      <c r="AE1" s="138"/>
      <c r="AF1" s="138"/>
      <c r="AG1" s="138"/>
      <c r="AH1" s="138"/>
      <c r="AI1" s="138"/>
      <c r="AJ1" s="138"/>
      <c r="AK1" s="138"/>
      <c r="AL1" s="138"/>
      <c r="AM1" s="138"/>
    </row>
    <row r="2" spans="1:40" x14ac:dyDescent="0.25">
      <c r="A2" s="127"/>
      <c r="B2" s="127"/>
      <c r="C2" s="127"/>
      <c r="D2" s="127"/>
      <c r="E2" s="127"/>
      <c r="F2" s="127"/>
      <c r="G2" s="127"/>
      <c r="H2" s="127"/>
      <c r="I2" s="127"/>
      <c r="J2" s="127"/>
      <c r="K2" s="127"/>
      <c r="L2" s="127"/>
      <c r="M2" s="127"/>
      <c r="N2" s="127"/>
      <c r="O2" s="127"/>
      <c r="P2" s="127"/>
      <c r="Q2" s="127"/>
      <c r="R2" s="127"/>
      <c r="S2" s="127"/>
      <c r="T2" s="127"/>
      <c r="U2" s="138"/>
      <c r="V2" s="138"/>
      <c r="W2" s="138"/>
      <c r="X2" s="138"/>
      <c r="Y2" s="138"/>
      <c r="Z2" s="138"/>
      <c r="AA2" s="138"/>
      <c r="AB2" s="138"/>
      <c r="AC2" s="138"/>
      <c r="AD2" s="138"/>
      <c r="AE2" s="138"/>
      <c r="AF2" s="138"/>
      <c r="AG2" s="138"/>
      <c r="AH2" s="138"/>
      <c r="AI2" s="138"/>
      <c r="AJ2" s="138"/>
      <c r="AK2" s="138"/>
      <c r="AL2" s="138"/>
      <c r="AM2" s="138"/>
    </row>
    <row r="3" spans="1:40" x14ac:dyDescent="0.25">
      <c r="A3" s="127"/>
      <c r="B3" s="127"/>
      <c r="C3" s="127"/>
      <c r="D3" s="127"/>
      <c r="E3" s="127"/>
      <c r="F3" s="127"/>
      <c r="G3" s="127"/>
      <c r="H3" s="127"/>
      <c r="I3" s="127"/>
      <c r="J3" s="127"/>
      <c r="K3" s="127"/>
      <c r="L3" s="127"/>
      <c r="M3" s="127"/>
      <c r="N3" s="127"/>
      <c r="O3" s="127"/>
      <c r="P3" s="127"/>
      <c r="Q3" s="127"/>
      <c r="R3" s="127"/>
      <c r="S3" s="127"/>
      <c r="T3" s="127"/>
      <c r="U3" s="138"/>
      <c r="V3" s="138"/>
      <c r="W3" s="138"/>
      <c r="X3" s="138"/>
      <c r="Y3" s="138"/>
      <c r="Z3" s="138"/>
      <c r="AA3" s="138"/>
      <c r="AB3" s="138"/>
      <c r="AC3" s="138"/>
      <c r="AD3" s="138"/>
      <c r="AE3" s="138"/>
      <c r="AF3" s="138"/>
      <c r="AG3" s="138"/>
      <c r="AH3" s="138"/>
      <c r="AI3" s="138"/>
      <c r="AJ3" s="138"/>
      <c r="AK3" s="138"/>
      <c r="AL3" s="138"/>
      <c r="AM3" s="138"/>
    </row>
    <row r="4" spans="1:40" x14ac:dyDescent="0.25">
      <c r="A4" s="127"/>
      <c r="B4" s="127"/>
      <c r="C4" s="127"/>
      <c r="D4" s="127"/>
      <c r="E4" s="127"/>
      <c r="F4" s="127"/>
      <c r="G4" s="127"/>
      <c r="H4" s="127"/>
      <c r="I4" s="127"/>
      <c r="J4" s="127"/>
      <c r="K4" s="127"/>
      <c r="L4" s="127"/>
      <c r="M4" s="127"/>
      <c r="N4" s="127"/>
      <c r="O4" s="127"/>
      <c r="P4" s="127"/>
      <c r="Q4" s="127"/>
      <c r="R4" s="127"/>
      <c r="S4" s="127"/>
      <c r="T4" s="127"/>
      <c r="U4" s="138"/>
      <c r="V4" s="138"/>
      <c r="W4" s="138"/>
      <c r="X4" s="138"/>
      <c r="Y4" s="123"/>
      <c r="Z4" s="139"/>
      <c r="AA4" s="139"/>
      <c r="AB4" s="139"/>
      <c r="AC4" s="138"/>
      <c r="AD4" s="123"/>
      <c r="AE4" s="123"/>
      <c r="AF4" s="123"/>
      <c r="AG4" s="123"/>
      <c r="AH4" s="138"/>
      <c r="AI4" s="138"/>
      <c r="AJ4" s="138"/>
      <c r="AK4" s="138"/>
      <c r="AL4" s="138"/>
      <c r="AM4" s="138"/>
    </row>
    <row r="5" spans="1:40" ht="17.399999999999999" x14ac:dyDescent="0.25">
      <c r="A5" s="127"/>
      <c r="B5" s="127"/>
      <c r="C5" s="127"/>
      <c r="D5" s="127"/>
      <c r="E5" s="127"/>
      <c r="F5" s="127"/>
      <c r="G5" s="127"/>
      <c r="H5" s="127"/>
      <c r="I5" s="127"/>
      <c r="J5" s="127"/>
      <c r="K5" s="127"/>
      <c r="L5" s="127"/>
      <c r="M5" s="127"/>
      <c r="N5" s="127"/>
      <c r="O5" s="127"/>
      <c r="P5" s="127"/>
      <c r="Q5" s="127"/>
      <c r="R5" s="127"/>
      <c r="S5" s="127"/>
      <c r="T5" s="127"/>
      <c r="U5" s="138"/>
      <c r="V5" s="138"/>
      <c r="W5" s="138"/>
      <c r="X5" s="138"/>
      <c r="Y5" s="195" t="s">
        <v>628</v>
      </c>
      <c r="Z5" s="123"/>
      <c r="AA5" s="245">
        <v>142000</v>
      </c>
      <c r="AB5" s="245"/>
      <c r="AC5" s="138"/>
      <c r="AD5" s="195" t="s">
        <v>601</v>
      </c>
      <c r="AE5" s="123"/>
      <c r="AF5" s="245">
        <v>142000</v>
      </c>
      <c r="AG5" s="245"/>
      <c r="AH5" s="138"/>
      <c r="AI5" s="138"/>
      <c r="AJ5" s="138"/>
      <c r="AK5" s="138"/>
      <c r="AL5" s="138"/>
      <c r="AM5" s="138"/>
    </row>
    <row r="6" spans="1:40" x14ac:dyDescent="0.25">
      <c r="A6" s="127"/>
      <c r="B6" s="127"/>
      <c r="C6" s="127"/>
      <c r="D6" s="127"/>
      <c r="E6" s="127"/>
      <c r="F6" s="127"/>
      <c r="G6" s="127"/>
      <c r="H6" s="127"/>
      <c r="I6" s="127"/>
      <c r="J6" s="127"/>
      <c r="K6" s="127"/>
      <c r="L6" s="127"/>
      <c r="M6" s="127"/>
      <c r="N6" s="127"/>
      <c r="O6" s="127"/>
      <c r="P6" s="127"/>
      <c r="Q6" s="127"/>
      <c r="R6" s="127"/>
      <c r="S6" s="127"/>
      <c r="T6" s="127"/>
      <c r="U6" s="138"/>
      <c r="V6" s="138"/>
      <c r="W6" s="138"/>
      <c r="X6" s="138"/>
      <c r="Y6" s="124"/>
      <c r="Z6" s="139"/>
      <c r="AA6" s="139"/>
      <c r="AB6" s="139"/>
      <c r="AC6" s="138"/>
      <c r="AD6" s="124"/>
      <c r="AE6" s="123"/>
      <c r="AF6" s="123"/>
      <c r="AG6" s="123"/>
      <c r="AH6" s="138"/>
      <c r="AI6" s="138"/>
      <c r="AJ6" s="138"/>
      <c r="AK6" s="138"/>
      <c r="AL6" s="138"/>
      <c r="AM6" s="138"/>
    </row>
    <row r="7" spans="1:40" ht="17.399999999999999" x14ac:dyDescent="0.25">
      <c r="A7" s="127"/>
      <c r="B7" s="127"/>
      <c r="C7" s="127"/>
      <c r="D7" s="127"/>
      <c r="E7" s="127"/>
      <c r="F7" s="127"/>
      <c r="G7" s="127"/>
      <c r="H7" s="127"/>
      <c r="I7" s="127"/>
      <c r="J7" s="127"/>
      <c r="K7" s="127"/>
      <c r="L7" s="127"/>
      <c r="M7" s="127"/>
      <c r="N7" s="127"/>
      <c r="O7" s="127"/>
      <c r="P7" s="127"/>
      <c r="Q7" s="127"/>
      <c r="R7" s="127"/>
      <c r="S7" s="127"/>
      <c r="T7" s="127"/>
      <c r="U7" s="138"/>
      <c r="V7" s="138"/>
      <c r="W7" s="138"/>
      <c r="X7" s="138"/>
      <c r="Y7" s="195" t="s">
        <v>624</v>
      </c>
      <c r="Z7" s="123"/>
      <c r="AA7" s="245">
        <v>20000</v>
      </c>
      <c r="AB7" s="245"/>
      <c r="AC7" s="138"/>
      <c r="AD7" s="195" t="s">
        <v>588</v>
      </c>
      <c r="AE7" s="123"/>
      <c r="AF7" s="245">
        <v>194000</v>
      </c>
      <c r="AG7" s="245"/>
      <c r="AH7" s="138"/>
      <c r="AI7" s="138"/>
      <c r="AJ7" s="138"/>
      <c r="AK7" s="138"/>
      <c r="AL7" s="138"/>
      <c r="AM7" s="138"/>
    </row>
    <row r="8" spans="1:40" x14ac:dyDescent="0.25">
      <c r="A8" s="127"/>
      <c r="B8" s="127"/>
      <c r="C8" s="127"/>
      <c r="D8" s="127"/>
      <c r="E8" s="127"/>
      <c r="F8" s="127"/>
      <c r="G8" s="127"/>
      <c r="H8" s="127"/>
      <c r="I8" s="127"/>
      <c r="J8" s="127"/>
      <c r="K8" s="127"/>
      <c r="L8" s="127"/>
      <c r="M8" s="127"/>
      <c r="N8" s="127"/>
      <c r="O8" s="127"/>
      <c r="P8" s="127"/>
      <c r="Q8" s="127"/>
      <c r="R8" s="127"/>
      <c r="S8" s="127"/>
      <c r="T8" s="127"/>
      <c r="U8" s="138"/>
      <c r="V8" s="138"/>
      <c r="W8" s="138"/>
      <c r="X8" s="138"/>
      <c r="Y8" s="124"/>
      <c r="Z8" s="139"/>
      <c r="AA8" s="139"/>
      <c r="AB8" s="139"/>
      <c r="AC8" s="138"/>
      <c r="AD8" s="124"/>
      <c r="AE8" s="123"/>
      <c r="AF8" s="123"/>
      <c r="AG8" s="123"/>
      <c r="AH8" s="138"/>
      <c r="AI8" s="138"/>
      <c r="AJ8" s="138"/>
      <c r="AK8" s="138"/>
      <c r="AL8" s="138"/>
      <c r="AM8" s="138"/>
    </row>
    <row r="9" spans="1:40" ht="17.399999999999999" x14ac:dyDescent="0.25">
      <c r="A9" s="127"/>
      <c r="B9" s="127"/>
      <c r="C9" s="127"/>
      <c r="D9" s="127"/>
      <c r="E9" s="127"/>
      <c r="F9" s="127"/>
      <c r="G9" s="127"/>
      <c r="H9" s="127"/>
      <c r="I9" s="127"/>
      <c r="J9" s="127"/>
      <c r="K9" s="127"/>
      <c r="L9" s="127"/>
      <c r="M9" s="127"/>
      <c r="N9" s="127"/>
      <c r="O9" s="127"/>
      <c r="P9" s="127"/>
      <c r="Q9" s="127"/>
      <c r="R9" s="127"/>
      <c r="S9" s="127"/>
      <c r="T9" s="127"/>
      <c r="U9" s="138"/>
      <c r="V9" s="138"/>
      <c r="W9" s="138"/>
      <c r="X9" s="138"/>
      <c r="Y9" s="195" t="s">
        <v>589</v>
      </c>
      <c r="Z9" s="123"/>
      <c r="AA9" s="245">
        <v>90000</v>
      </c>
      <c r="AB9" s="245"/>
      <c r="AC9" s="138"/>
      <c r="AD9" s="195" t="s">
        <v>589</v>
      </c>
      <c r="AE9" s="123"/>
      <c r="AF9" s="245">
        <v>90000</v>
      </c>
      <c r="AG9" s="245"/>
      <c r="AH9" s="138"/>
      <c r="AI9" s="138"/>
      <c r="AJ9" s="138"/>
      <c r="AK9" s="138"/>
      <c r="AL9" s="138"/>
      <c r="AM9" s="138"/>
    </row>
    <row r="10" spans="1:40" x14ac:dyDescent="0.25">
      <c r="A10" s="127"/>
      <c r="B10" s="127"/>
      <c r="C10" s="127"/>
      <c r="D10" s="127"/>
      <c r="E10" s="127"/>
      <c r="F10" s="127"/>
      <c r="G10" s="127"/>
      <c r="H10" s="127"/>
      <c r="I10" s="127"/>
      <c r="J10" s="127"/>
      <c r="K10" s="127"/>
      <c r="L10" s="127"/>
      <c r="M10" s="127"/>
      <c r="N10" s="127"/>
      <c r="O10" s="127"/>
      <c r="P10" s="127"/>
      <c r="Q10" s="127"/>
      <c r="R10" s="127"/>
      <c r="S10" s="127"/>
      <c r="T10" s="127"/>
      <c r="U10" s="138"/>
      <c r="V10" s="138"/>
      <c r="W10" s="138"/>
      <c r="X10" s="138"/>
      <c r="Y10" s="124"/>
      <c r="Z10" s="139"/>
      <c r="AA10" s="139"/>
      <c r="AB10" s="139"/>
      <c r="AC10" s="138"/>
      <c r="AD10" s="124"/>
      <c r="AE10" s="123"/>
      <c r="AF10" s="123"/>
      <c r="AG10" s="123"/>
      <c r="AH10" s="138"/>
      <c r="AI10" s="138"/>
      <c r="AJ10" s="138"/>
      <c r="AK10" s="138"/>
      <c r="AL10" s="138"/>
      <c r="AM10" s="138"/>
      <c r="AN10" s="116"/>
    </row>
    <row r="11" spans="1:40" ht="17.399999999999999" x14ac:dyDescent="0.25">
      <c r="A11" s="127"/>
      <c r="B11" s="127"/>
      <c r="C11" s="127"/>
      <c r="D11" s="127"/>
      <c r="E11" s="127"/>
      <c r="F11" s="127"/>
      <c r="G11" s="127"/>
      <c r="H11" s="127"/>
      <c r="I11" s="127"/>
      <c r="J11" s="127"/>
      <c r="K11" s="127"/>
      <c r="L11" s="127"/>
      <c r="M11" s="127"/>
      <c r="N11" s="127"/>
      <c r="O11" s="127"/>
      <c r="P11" s="127"/>
      <c r="Q11" s="127"/>
      <c r="R11" s="127"/>
      <c r="S11" s="127"/>
      <c r="T11" s="127"/>
      <c r="U11" s="138"/>
      <c r="V11" s="138"/>
      <c r="W11" s="138"/>
      <c r="X11" s="138"/>
      <c r="Y11" s="195" t="s">
        <v>323</v>
      </c>
      <c r="Z11" s="123"/>
      <c r="AA11" s="245">
        <v>20000</v>
      </c>
      <c r="AB11" s="245"/>
      <c r="AC11" s="138"/>
      <c r="AD11" s="195" t="s">
        <v>323</v>
      </c>
      <c r="AE11" s="123"/>
      <c r="AF11" s="245">
        <v>20000</v>
      </c>
      <c r="AG11" s="245"/>
      <c r="AH11" s="138"/>
      <c r="AI11" s="138"/>
      <c r="AJ11" s="138"/>
      <c r="AK11" s="138"/>
      <c r="AL11" s="138"/>
      <c r="AM11" s="138"/>
    </row>
    <row r="12" spans="1:40" x14ac:dyDescent="0.25">
      <c r="A12" s="127"/>
      <c r="B12" s="127"/>
      <c r="C12" s="127"/>
      <c r="D12" s="127"/>
      <c r="E12" s="127"/>
      <c r="F12" s="127"/>
      <c r="G12" s="127"/>
      <c r="H12" s="127"/>
      <c r="I12" s="127"/>
      <c r="J12" s="127"/>
      <c r="K12" s="127"/>
      <c r="L12" s="127"/>
      <c r="M12" s="127"/>
      <c r="N12" s="127"/>
      <c r="O12" s="127"/>
      <c r="P12" s="127"/>
      <c r="Q12" s="127"/>
      <c r="R12" s="127"/>
      <c r="S12" s="127"/>
      <c r="T12" s="127"/>
      <c r="U12" s="138"/>
      <c r="V12" s="138"/>
      <c r="W12" s="138"/>
      <c r="X12" s="138"/>
      <c r="Y12" s="124"/>
      <c r="Z12" s="139"/>
      <c r="AA12" s="139"/>
      <c r="AB12" s="139"/>
      <c r="AC12" s="138"/>
      <c r="AD12" s="124"/>
      <c r="AE12" s="123"/>
      <c r="AF12" s="123"/>
      <c r="AG12" s="123"/>
      <c r="AH12" s="138"/>
      <c r="AI12" s="138"/>
      <c r="AJ12" s="138"/>
      <c r="AK12" s="138"/>
      <c r="AL12" s="138"/>
      <c r="AM12" s="138"/>
    </row>
    <row r="13" spans="1:40" ht="17.399999999999999" x14ac:dyDescent="0.25">
      <c r="A13" s="127"/>
      <c r="B13" s="127"/>
      <c r="C13" s="127"/>
      <c r="D13" s="127"/>
      <c r="E13" s="127"/>
      <c r="F13" s="127"/>
      <c r="G13" s="127"/>
      <c r="H13" s="127"/>
      <c r="I13" s="127"/>
      <c r="J13" s="127"/>
      <c r="K13" s="127"/>
      <c r="L13" s="127"/>
      <c r="M13" s="127"/>
      <c r="N13" s="127"/>
      <c r="O13" s="127"/>
      <c r="P13" s="127"/>
      <c r="Q13" s="127"/>
      <c r="R13" s="127"/>
      <c r="S13" s="127"/>
      <c r="T13" s="127"/>
      <c r="U13" s="138"/>
      <c r="V13" s="138"/>
      <c r="W13" s="138"/>
      <c r="X13" s="138"/>
      <c r="Y13" s="195" t="s">
        <v>588</v>
      </c>
      <c r="Z13" s="123"/>
      <c r="AA13" s="246">
        <f>((($AA$11+$AA$7)*$AA$5)-($AA$11*$AA$9))/$AA$7</f>
        <v>194000</v>
      </c>
      <c r="AB13" s="246"/>
      <c r="AC13" s="138"/>
      <c r="AD13" s="195" t="s">
        <v>624</v>
      </c>
      <c r="AE13" s="123"/>
      <c r="AF13" s="246">
        <f>AF11*(AF5-AF9)/(-AF5+AF7)</f>
        <v>20000</v>
      </c>
      <c r="AG13" s="246"/>
      <c r="AH13" s="138"/>
      <c r="AI13" s="138"/>
      <c r="AJ13" s="138"/>
      <c r="AK13" s="138"/>
      <c r="AL13" s="138"/>
      <c r="AM13" s="138"/>
    </row>
    <row r="14" spans="1:40" ht="25.2" customHeight="1" x14ac:dyDescent="0.25">
      <c r="A14" s="127"/>
      <c r="B14" s="127"/>
      <c r="C14" s="127"/>
      <c r="D14" s="127"/>
      <c r="E14" s="127"/>
      <c r="F14" s="127"/>
      <c r="G14" s="127"/>
      <c r="H14" s="127"/>
      <c r="I14" s="127"/>
      <c r="J14" s="127"/>
      <c r="K14" s="127"/>
      <c r="L14" s="127"/>
      <c r="M14" s="127"/>
      <c r="N14" s="127"/>
      <c r="O14" s="127"/>
      <c r="P14" s="127"/>
      <c r="Q14" s="127"/>
      <c r="R14" s="127"/>
      <c r="S14" s="127"/>
      <c r="T14" s="127"/>
      <c r="U14" s="138"/>
      <c r="V14" s="138"/>
      <c r="W14" s="138"/>
      <c r="X14" s="138"/>
      <c r="Y14" s="123"/>
      <c r="Z14" s="139"/>
      <c r="AA14" s="139"/>
      <c r="AB14" s="139"/>
      <c r="AC14" s="138"/>
      <c r="AD14" s="123"/>
      <c r="AE14" s="123"/>
      <c r="AF14" s="123"/>
      <c r="AG14" s="123"/>
      <c r="AH14" s="138"/>
      <c r="AI14" s="138"/>
      <c r="AJ14" s="138"/>
      <c r="AK14" s="138"/>
      <c r="AL14" s="138"/>
      <c r="AM14" s="138"/>
    </row>
    <row r="15" spans="1:40" ht="25.2" customHeight="1" x14ac:dyDescent="0.25">
      <c r="A15" s="127"/>
      <c r="B15" s="127"/>
      <c r="C15" s="127"/>
      <c r="D15" s="127"/>
      <c r="E15" s="127"/>
      <c r="F15" s="127"/>
      <c r="G15" s="127"/>
      <c r="H15" s="127"/>
      <c r="I15" s="127"/>
      <c r="J15" s="127"/>
      <c r="K15" s="127"/>
      <c r="L15" s="127"/>
      <c r="M15" s="127"/>
      <c r="N15" s="127"/>
      <c r="O15" s="127"/>
      <c r="P15" s="127"/>
      <c r="Q15" s="127"/>
      <c r="R15" s="127"/>
      <c r="S15" s="127"/>
      <c r="T15" s="127"/>
      <c r="U15" s="138"/>
      <c r="V15" s="138"/>
      <c r="W15" s="138"/>
      <c r="X15" s="138"/>
      <c r="Y15" s="138"/>
      <c r="Z15" s="138"/>
      <c r="AA15" s="138"/>
      <c r="AB15" s="138"/>
      <c r="AC15" s="138"/>
      <c r="AD15" s="138"/>
      <c r="AE15" s="138"/>
      <c r="AF15" s="138"/>
      <c r="AG15" s="138"/>
      <c r="AH15" s="138"/>
      <c r="AI15" s="138"/>
      <c r="AJ15" s="138"/>
      <c r="AK15" s="138"/>
      <c r="AL15" s="138"/>
      <c r="AM15" s="138"/>
    </row>
    <row r="16" spans="1:40" ht="23.4" customHeight="1" x14ac:dyDescent="0.25">
      <c r="A16" s="127"/>
      <c r="B16" s="127"/>
      <c r="C16" s="127"/>
      <c r="D16" s="127"/>
      <c r="E16" s="127"/>
      <c r="F16" s="127"/>
      <c r="G16" s="127"/>
      <c r="H16" s="127"/>
      <c r="I16" s="127"/>
      <c r="J16" s="127"/>
      <c r="K16" s="127"/>
      <c r="L16" s="127"/>
      <c r="M16" s="127"/>
      <c r="N16" s="127"/>
      <c r="O16" s="127"/>
      <c r="P16" s="127"/>
      <c r="Q16" s="127"/>
      <c r="R16" s="127"/>
      <c r="S16" s="127"/>
      <c r="T16" s="127"/>
      <c r="U16" s="138"/>
      <c r="V16" s="138"/>
      <c r="W16" s="138"/>
      <c r="X16" s="138"/>
      <c r="Y16" s="138"/>
      <c r="Z16" s="138"/>
      <c r="AA16" s="138"/>
      <c r="AB16" s="138"/>
      <c r="AC16" s="138"/>
      <c r="AD16" s="138"/>
      <c r="AE16" s="138"/>
      <c r="AF16" s="138"/>
      <c r="AG16" s="138"/>
      <c r="AH16" s="138"/>
      <c r="AI16" s="138"/>
      <c r="AJ16" s="138"/>
      <c r="AK16" s="138"/>
      <c r="AL16" s="138"/>
      <c r="AM16" s="138"/>
    </row>
    <row r="17" spans="1:39" ht="18.600000000000001" customHeight="1" x14ac:dyDescent="0.25">
      <c r="A17" s="127"/>
      <c r="B17" s="128"/>
      <c r="C17" s="128"/>
      <c r="D17" s="128"/>
      <c r="E17" s="128"/>
      <c r="F17" s="128"/>
      <c r="G17" s="128"/>
      <c r="H17" s="128"/>
      <c r="I17" s="129"/>
      <c r="J17" s="130"/>
      <c r="K17" s="127"/>
      <c r="L17" s="236" t="s">
        <v>258</v>
      </c>
      <c r="M17" s="236" t="s">
        <v>127</v>
      </c>
      <c r="N17" s="237" t="s">
        <v>267</v>
      </c>
      <c r="O17" s="237" t="s">
        <v>507</v>
      </c>
      <c r="P17" s="237" t="s">
        <v>506</v>
      </c>
      <c r="Q17" s="237" t="s">
        <v>504</v>
      </c>
      <c r="R17" s="237" t="s">
        <v>1</v>
      </c>
      <c r="S17" s="238" t="s">
        <v>622</v>
      </c>
      <c r="T17" s="239" t="s">
        <v>538</v>
      </c>
      <c r="U17" s="239" t="s">
        <v>285</v>
      </c>
      <c r="V17" s="240" t="s">
        <v>287</v>
      </c>
      <c r="W17" s="237" t="s">
        <v>620</v>
      </c>
      <c r="X17" s="138"/>
      <c r="Y17" s="138"/>
      <c r="Z17" s="138"/>
      <c r="AA17" s="138"/>
      <c r="AB17" s="138"/>
      <c r="AC17" s="138"/>
      <c r="AD17" s="138"/>
      <c r="AE17" s="138"/>
      <c r="AF17" s="138"/>
      <c r="AG17" s="138"/>
      <c r="AH17" s="138"/>
      <c r="AI17" s="138"/>
      <c r="AJ17" s="138"/>
      <c r="AK17" s="138"/>
      <c r="AL17" s="138"/>
      <c r="AM17" s="138"/>
    </row>
    <row r="18" spans="1:39" ht="15.6" customHeight="1" x14ac:dyDescent="0.25">
      <c r="A18" s="127"/>
      <c r="B18" s="131"/>
      <c r="C18" s="132"/>
      <c r="D18" s="133"/>
      <c r="E18" s="133"/>
      <c r="F18" s="134"/>
      <c r="G18" s="131"/>
      <c r="H18" s="131"/>
      <c r="I18" s="135"/>
      <c r="J18" s="136"/>
      <c r="K18" s="127"/>
      <c r="L18" s="202">
        <v>1</v>
      </c>
      <c r="M18" s="203" t="str">
        <f>IF(INDEX(calc!$Z$7:$Z$41,'Report Dashboard'!$L18,1)&lt;&gt;"",INDEX(calc!$Z$7:$Z$41,'Report Dashboard'!$L18,1),"")</f>
        <v>پ/29-1404</v>
      </c>
      <c r="N18" s="203" t="str">
        <f>IFERROR(INDEX(invoice[تاریخ],MATCH('Report Dashboard'!M18,invoice[شماره پیش فاکتور],0)),"")</f>
        <v>1404/04/02</v>
      </c>
      <c r="O18" s="203" t="str">
        <f>IFERROR(INDEX(invoice[تاریخ مجوز بهره برداری],MATCH('Report Dashboard'!M18,invoice[شماره پیش فاکتور],0)),"")</f>
        <v>1404/04/03</v>
      </c>
      <c r="P18" s="204">
        <f>IFERROR(INDEX(invoice[تاریخ انقضا],MATCH('Report Dashboard'!M18,invoice[شماره پیش فاکتور],0)),"")</f>
        <v>46101</v>
      </c>
      <c r="Q18" s="204" t="str">
        <f>IFERROR(INDEX(invoice[نوع شرکت],MATCH('Report Dashboard'!M18,invoice[شماره پیش فاکتور],0)),"")</f>
        <v>تولید کننده</v>
      </c>
      <c r="R18" s="205">
        <f>IFERROR(INDEX(invoice[میزان سفارش],MATCH('Report Dashboard'!M18,invoice[شماره پیش فاکتور],0)),"")</f>
        <v>50000</v>
      </c>
      <c r="S18" s="203" t="str">
        <f t="array" ref="S18">IFERROR(INDEX(invoice[نوع سفارش],MATCH('Report Dashboard'!M18,invoice[شماره پیش فاکتور],0)),"")</f>
        <v>بورس</v>
      </c>
      <c r="T18" s="206">
        <f>IFERROR(INDEX(invoice[فی],MATCH('Report Dashboard'!M18,invoice[شماره پیش فاکتور],0)),"")</f>
        <v>167500</v>
      </c>
      <c r="U18" s="206" t="str">
        <f>IF(INDEX(calc!$AB$7:$AB$41,'Report Dashboard'!$L18,1)&lt;&gt;"",INDEX(calc!$AB$7:$AB$41,'Report Dashboard'!$L18,1),"")</f>
        <v/>
      </c>
      <c r="V18" s="142" t="str">
        <f t="shared" ref="V18:V33" si="0">IFERROR(IF(AND(R18&lt;&gt;"",U18=""),"در انتظار بارگیری",IF(R18&lt;&gt;0,U18/R18,0)),"")</f>
        <v>در انتظار بارگیری</v>
      </c>
      <c r="W18" s="205">
        <f t="shared" ref="W18:W33" si="1">IF(U18="",R18,R18-U18)</f>
        <v>50000</v>
      </c>
      <c r="X18" s="138"/>
      <c r="Y18" s="138"/>
      <c r="Z18" s="138"/>
      <c r="AA18" s="138"/>
      <c r="AB18" s="138"/>
      <c r="AC18" s="138"/>
      <c r="AD18" s="138"/>
      <c r="AE18" s="138"/>
      <c r="AF18" s="138"/>
      <c r="AG18" s="138"/>
      <c r="AH18" s="138"/>
      <c r="AI18" s="138"/>
      <c r="AJ18" s="138"/>
      <c r="AK18" s="138"/>
      <c r="AL18" s="138"/>
      <c r="AM18" s="138"/>
    </row>
    <row r="19" spans="1:39" ht="15.6" customHeight="1" x14ac:dyDescent="0.6">
      <c r="A19" s="127"/>
      <c r="B19" s="131"/>
      <c r="C19" s="132"/>
      <c r="D19" s="133"/>
      <c r="E19" s="133"/>
      <c r="F19" s="134"/>
      <c r="G19" s="131"/>
      <c r="H19" s="131"/>
      <c r="I19" s="135"/>
      <c r="J19" s="136"/>
      <c r="K19" s="127"/>
      <c r="L19" s="207">
        <f t="shared" ref="L19:L37" si="2">L18+1</f>
        <v>2</v>
      </c>
      <c r="M19" s="200" t="str">
        <f>IF(INDEX(calc!$Z$7:$Z$41,'Report Dashboard'!$L19,1)&lt;&gt;"",INDEX(calc!$Z$7:$Z$41,'Report Dashboard'!$L19,1),"")</f>
        <v>پ/28-1404</v>
      </c>
      <c r="N19" s="200" t="str">
        <f>IFERROR(INDEX(invoice[تاریخ],MATCH('Report Dashboard'!M19,invoice[شماره پیش فاکتور],0)),"")</f>
        <v>1404/03/21</v>
      </c>
      <c r="O19" s="200" t="str">
        <f>IFERROR(INDEX(invoice[تاریخ مجوز بهره برداری],MATCH('Report Dashboard'!M19,invoice[شماره پیش فاکتور],0)),"")</f>
        <v>1404/03/21</v>
      </c>
      <c r="P19" s="201">
        <f>IFERROR(INDEX(invoice[تاریخ انقضا],MATCH('Report Dashboard'!M19,invoice[شماره پیش فاکتور],0)),"")</f>
        <v>46101</v>
      </c>
      <c r="Q19" s="201" t="str">
        <f>IFERROR(INDEX(invoice[نوع شرکت],MATCH('Report Dashboard'!M19,invoice[شماره پیش فاکتور],0)),"")</f>
        <v>تولید کننده</v>
      </c>
      <c r="R19" s="196">
        <f>IFERROR(INDEX(invoice[میزان سفارش],MATCH('Report Dashboard'!M19,invoice[شماره پیش فاکتور],0)),"")</f>
        <v>40000</v>
      </c>
      <c r="S19" s="200" t="str">
        <f t="array" ref="S19">IFERROR(INDEX(invoice[نوع سفارش],MATCH('Report Dashboard'!M19,invoice[شماره پیش فاکتور],0)),"")</f>
        <v>تعادلی</v>
      </c>
      <c r="T19" s="137">
        <f>IFERROR(INDEX(invoice[فی],MATCH('Report Dashboard'!M19,invoice[شماره پیش فاکتور],0)),"")</f>
        <v>83000</v>
      </c>
      <c r="U19" s="137" t="str">
        <f>IF(INDEX(calc!$AB$7:$AB$41,'Report Dashboard'!$L19,1)&lt;&gt;"",INDEX(calc!$AB$7:$AB$41,'Report Dashboard'!$L19,1),"")</f>
        <v/>
      </c>
      <c r="V19" s="141" t="str">
        <f t="shared" si="0"/>
        <v>در انتظار بارگیری</v>
      </c>
      <c r="W19" s="212">
        <f t="shared" si="1"/>
        <v>40000</v>
      </c>
      <c r="X19" s="138"/>
      <c r="Y19" s="125"/>
      <c r="Z19" s="139"/>
      <c r="AA19" s="247"/>
      <c r="AB19" s="247"/>
      <c r="AC19" s="138"/>
      <c r="AD19" s="123"/>
      <c r="AE19" s="123"/>
      <c r="AF19" s="123"/>
      <c r="AG19" s="123"/>
      <c r="AH19" s="138"/>
      <c r="AI19" s="138"/>
      <c r="AJ19" s="138"/>
      <c r="AK19" s="138"/>
      <c r="AL19" s="138"/>
      <c r="AM19" s="138"/>
    </row>
    <row r="20" spans="1:39" ht="15.6" customHeight="1" x14ac:dyDescent="0.5">
      <c r="A20" s="127"/>
      <c r="B20" s="131"/>
      <c r="C20" s="132"/>
      <c r="D20" s="133"/>
      <c r="E20" s="133"/>
      <c r="F20" s="134"/>
      <c r="G20" s="131"/>
      <c r="H20" s="131"/>
      <c r="I20" s="135"/>
      <c r="J20" s="136"/>
      <c r="K20" s="127"/>
      <c r="L20" s="208">
        <f t="shared" si="2"/>
        <v>3</v>
      </c>
      <c r="M20" s="209" t="str">
        <f>IF(INDEX(calc!$Z$7:$Z$41,'Report Dashboard'!$L20,1)&lt;&gt;"",INDEX(calc!$Z$7:$Z$41,'Report Dashboard'!$L20,1),"")</f>
        <v>پ/51-1404</v>
      </c>
      <c r="N20" s="209" t="str">
        <f>IFERROR(INDEX(invoice[تاریخ],MATCH('Report Dashboard'!M20,invoice[شماره پیش فاکتور],0)),"")</f>
        <v>1404/05/18</v>
      </c>
      <c r="O20" s="209" t="str">
        <f>IFERROR(INDEX(invoice[تاریخ مجوز بهره برداری],MATCH('Report Dashboard'!M20,invoice[شماره پیش فاکتور],0)),"")</f>
        <v>1404/05/22</v>
      </c>
      <c r="P20" s="210">
        <f>IFERROR(INDEX(invoice[تاریخ انقضا],MATCH('Report Dashboard'!M20,invoice[شماره پیش فاکتور],0)),"")</f>
        <v>0</v>
      </c>
      <c r="Q20" s="210" t="str">
        <f>IFERROR(INDEX(invoice[نوع شرکت],MATCH('Report Dashboard'!M20,invoice[شماره پیش فاکتور],0)),"")</f>
        <v>تولید کننده</v>
      </c>
      <c r="R20" s="140">
        <f>IFERROR(INDEX(invoice[میزان سفارش],MATCH('Report Dashboard'!M20,invoice[شماره پیش فاکتور],0)),"")</f>
        <v>30000</v>
      </c>
      <c r="S20" s="209" t="str">
        <f t="array" ref="S20">IFERROR(INDEX(invoice[نوع سفارش],MATCH('Report Dashboard'!M20,invoice[شماره پیش فاکتور],0)),"")</f>
        <v>تعادلی</v>
      </c>
      <c r="T20" s="140">
        <f>IFERROR(INDEX(invoice[فی],MATCH('Report Dashboard'!M20,invoice[شماره پیش فاکتور],0)),"")</f>
        <v>116500</v>
      </c>
      <c r="U20" s="140" t="str">
        <f>IF(INDEX(calc!$AB$7:$AB$41,'Report Dashboard'!$L20,1)&lt;&gt;"",INDEX(calc!$AB$7:$AB$41,'Report Dashboard'!$L20,1),"")</f>
        <v/>
      </c>
      <c r="V20" s="142" t="str">
        <f t="shared" si="0"/>
        <v>در انتظار بارگیری</v>
      </c>
      <c r="W20" s="211">
        <f t="shared" si="1"/>
        <v>30000</v>
      </c>
      <c r="X20" s="138"/>
      <c r="Y20" s="194" t="s">
        <v>627</v>
      </c>
      <c r="Z20" s="123"/>
      <c r="AA20" s="245">
        <v>110000</v>
      </c>
      <c r="AB20" s="245"/>
      <c r="AC20" s="138"/>
      <c r="AD20" s="194" t="s">
        <v>627</v>
      </c>
      <c r="AE20" s="123"/>
      <c r="AF20" s="245">
        <v>110000</v>
      </c>
      <c r="AG20" s="245"/>
      <c r="AH20" s="138"/>
      <c r="AI20" s="138"/>
      <c r="AJ20" s="138"/>
      <c r="AK20" s="138"/>
      <c r="AL20" s="138"/>
      <c r="AM20" s="138"/>
    </row>
    <row r="21" spans="1:39" ht="15.6" customHeight="1" x14ac:dyDescent="0.6">
      <c r="A21" s="127"/>
      <c r="B21" s="131"/>
      <c r="C21" s="132"/>
      <c r="D21" s="133"/>
      <c r="E21" s="133"/>
      <c r="F21" s="134"/>
      <c r="G21" s="131"/>
      <c r="H21" s="131"/>
      <c r="I21" s="135"/>
      <c r="J21" s="136"/>
      <c r="K21" s="127"/>
      <c r="L21" s="207">
        <f t="shared" si="2"/>
        <v>4</v>
      </c>
      <c r="M21" s="200" t="str">
        <f>IF(INDEX(calc!$Z$7:$Z$41,'Report Dashboard'!$L21,1)&lt;&gt;"",INDEX(calc!$Z$7:$Z$41,'Report Dashboard'!$L21,1),"")</f>
        <v>پ/04-1404</v>
      </c>
      <c r="N21" s="200" t="str">
        <f>IFERROR(INDEX(invoice[تاریخ],MATCH('Report Dashboard'!M21,invoice[شماره پیش فاکتور],0)),"")</f>
        <v>1404/02/16</v>
      </c>
      <c r="O21" s="200" t="str">
        <f>IFERROR(INDEX(invoice[تاریخ مجوز بهره برداری],MATCH('Report Dashboard'!M21,invoice[شماره پیش فاکتور],0)),"")</f>
        <v>1404/02/17</v>
      </c>
      <c r="P21" s="201" t="str">
        <f>IFERROR(INDEX(invoice[تاریخ انقضا],MATCH('Report Dashboard'!M21,invoice[شماره پیش فاکتور],0)),"")</f>
        <v>1404/12/29</v>
      </c>
      <c r="Q21" s="201" t="str">
        <f>IFERROR(INDEX(invoice[نوع شرکت],MATCH('Report Dashboard'!M21,invoice[شماره پیش فاکتور],0)),"")</f>
        <v>تولید کننده</v>
      </c>
      <c r="R21" s="137">
        <f>IFERROR(INDEX(invoice[میزان سفارش],MATCH('Report Dashboard'!M21,invoice[شماره پیش فاکتور],0)),"")</f>
        <v>65000</v>
      </c>
      <c r="S21" s="200" t="str">
        <f t="array" ref="S21">IFERROR(INDEX(invoice[نوع سفارش],MATCH('Report Dashboard'!M21,invoice[شماره پیش فاکتور],0)),"")</f>
        <v>تعادلی</v>
      </c>
      <c r="T21" s="137">
        <f>IFERROR(INDEX(invoice[فی],MATCH('Report Dashboard'!M21,invoice[شماره پیش فاکتور],0)),"")</f>
        <v>80000</v>
      </c>
      <c r="U21" s="137" t="str">
        <f>IF(INDEX(calc!$AB$7:$AB$41,'Report Dashboard'!$L21,1)&lt;&gt;"",INDEX(calc!$AB$7:$AB$41,'Report Dashboard'!$L21,1),"")</f>
        <v/>
      </c>
      <c r="V21" s="141" t="str">
        <f t="shared" si="0"/>
        <v>در انتظار بارگیری</v>
      </c>
      <c r="W21" s="212">
        <f t="shared" si="1"/>
        <v>65000</v>
      </c>
      <c r="X21" s="138"/>
      <c r="Y21" s="126"/>
      <c r="Z21" s="139"/>
      <c r="AA21" s="247"/>
      <c r="AB21" s="247"/>
      <c r="AC21" s="138"/>
      <c r="AD21" s="126"/>
      <c r="AE21" s="123"/>
      <c r="AF21" s="123"/>
      <c r="AG21" s="123"/>
      <c r="AH21" s="138"/>
      <c r="AI21" s="138"/>
      <c r="AJ21" s="138"/>
      <c r="AK21" s="138"/>
      <c r="AL21" s="138"/>
      <c r="AM21" s="138"/>
    </row>
    <row r="22" spans="1:39" ht="15.6" customHeight="1" x14ac:dyDescent="0.5">
      <c r="A22" s="127"/>
      <c r="B22" s="131"/>
      <c r="C22" s="132"/>
      <c r="D22" s="133"/>
      <c r="E22" s="133"/>
      <c r="F22" s="134"/>
      <c r="G22" s="131"/>
      <c r="H22" s="131"/>
      <c r="I22" s="135"/>
      <c r="J22" s="136"/>
      <c r="K22" s="127"/>
      <c r="L22" s="208">
        <f t="shared" si="2"/>
        <v>5</v>
      </c>
      <c r="M22" s="209" t="str">
        <f>IF(INDEX(calc!$Z$7:$Z$41,'Report Dashboard'!$L22,1)&lt;&gt;"",INDEX(calc!$Z$7:$Z$41,'Report Dashboard'!$L22,1),"")</f>
        <v>پ/32-1404</v>
      </c>
      <c r="N22" s="209" t="str">
        <f>IFERROR(INDEX(invoice[تاریخ],MATCH('Report Dashboard'!M22,invoice[شماره پیش فاکتور],0)),"")</f>
        <v>1404/04/09</v>
      </c>
      <c r="O22" s="209" t="str">
        <f>IFERROR(INDEX(invoice[تاریخ مجوز بهره برداری],MATCH('Report Dashboard'!M22,invoice[شماره پیش فاکتور],0)),"")</f>
        <v>1404/04/12</v>
      </c>
      <c r="P22" s="210">
        <f>IFERROR(INDEX(invoice[تاریخ انقضا],MATCH('Report Dashboard'!M22,invoice[شماره پیش فاکتور],0)),"")</f>
        <v>46101</v>
      </c>
      <c r="Q22" s="210" t="str">
        <f>IFERROR(INDEX(invoice[نوع شرکت],MATCH('Report Dashboard'!M22,invoice[شماره پیش فاکتور],0)),"")</f>
        <v>تولید کننده</v>
      </c>
      <c r="R22" s="140">
        <f>IFERROR(INDEX(invoice[میزان سفارش],MATCH('Report Dashboard'!M22,invoice[شماره پیش فاکتور],0)),"")</f>
        <v>50000</v>
      </c>
      <c r="S22" s="209" t="str">
        <f t="array" ref="S22">IFERROR(INDEX(invoice[نوع سفارش],MATCH('Report Dashboard'!M22,invoice[شماره پیش فاکتور],0)),"")</f>
        <v>تعادلی</v>
      </c>
      <c r="T22" s="140">
        <f>IFERROR(INDEX(invoice[فی],MATCH('Report Dashboard'!M22,invoice[شماره پیش فاکتور],0)),"")</f>
        <v>116500</v>
      </c>
      <c r="U22" s="140" t="str">
        <f>IF(INDEX(calc!$AB$7:$AB$41,'Report Dashboard'!$L22,1)&lt;&gt;"",INDEX(calc!$AB$7:$AB$41,'Report Dashboard'!$L22,1),"")</f>
        <v/>
      </c>
      <c r="V22" s="142" t="str">
        <f t="shared" si="0"/>
        <v>در انتظار بارگیری</v>
      </c>
      <c r="W22" s="211">
        <f t="shared" si="1"/>
        <v>50000</v>
      </c>
      <c r="X22" s="138"/>
      <c r="Y22" s="194" t="s">
        <v>626</v>
      </c>
      <c r="Z22" s="123"/>
      <c r="AA22" s="245">
        <v>86044</v>
      </c>
      <c r="AB22" s="245"/>
      <c r="AC22" s="138"/>
      <c r="AD22" s="194" t="s">
        <v>625</v>
      </c>
      <c r="AE22" s="123"/>
      <c r="AF22" s="245">
        <v>65000</v>
      </c>
      <c r="AG22" s="245"/>
      <c r="AH22" s="138"/>
      <c r="AI22" s="138"/>
      <c r="AJ22" s="138"/>
      <c r="AK22" s="138"/>
      <c r="AL22" s="138"/>
      <c r="AM22" s="138"/>
    </row>
    <row r="23" spans="1:39" ht="15.6" customHeight="1" x14ac:dyDescent="0.6">
      <c r="A23" s="127"/>
      <c r="B23" s="131"/>
      <c r="C23" s="132"/>
      <c r="D23" s="133"/>
      <c r="E23" s="133"/>
      <c r="F23" s="134"/>
      <c r="G23" s="131"/>
      <c r="H23" s="131"/>
      <c r="I23" s="135"/>
      <c r="J23" s="136"/>
      <c r="K23" s="127"/>
      <c r="L23" s="207">
        <f t="shared" si="2"/>
        <v>6</v>
      </c>
      <c r="M23" s="200" t="str">
        <f>IF(INDEX(calc!$Z$7:$Z$41,'Report Dashboard'!$L23,1)&lt;&gt;"",INDEX(calc!$Z$7:$Z$41,'Report Dashboard'!$L23,1),"")</f>
        <v>پ/47-1404</v>
      </c>
      <c r="N23" s="200" t="str">
        <f>IFERROR(INDEX(invoice[تاریخ],MATCH('Report Dashboard'!M23,invoice[شماره پیش فاکتور],0)),"")</f>
        <v>1404/05/14</v>
      </c>
      <c r="O23" s="200" t="str">
        <f>IFERROR(INDEX(invoice[تاریخ مجوز بهره برداری],MATCH('Report Dashboard'!M23,invoice[شماره پیش فاکتور],0)),"")</f>
        <v>1404/05/14</v>
      </c>
      <c r="P23" s="201">
        <f>IFERROR(INDEX(invoice[تاریخ انقضا],MATCH('Report Dashboard'!M23,invoice[شماره پیش فاکتور],0)),"")</f>
        <v>46101</v>
      </c>
      <c r="Q23" s="201" t="str">
        <f>IFERROR(INDEX(invoice[نوع شرکت],MATCH('Report Dashboard'!M23,invoice[شماره پیش فاکتور],0)),"")</f>
        <v>تولید کننده</v>
      </c>
      <c r="R23" s="137">
        <f>IFERROR(INDEX(invoice[میزان سفارش],MATCH('Report Dashboard'!M23,invoice[شماره پیش فاکتور],0)),"")</f>
        <v>30000</v>
      </c>
      <c r="S23" s="200" t="str">
        <f t="array" ref="S23">IFERROR(INDEX(invoice[نوع سفارش],MATCH('Report Dashboard'!M23,invoice[شماره پیش فاکتور],0)),"")</f>
        <v>بورس</v>
      </c>
      <c r="T23" s="137">
        <f>IFERROR(INDEX(invoice[فی],MATCH('Report Dashboard'!M23,invoice[شماره پیش فاکتور],0)),"")</f>
        <v>167500</v>
      </c>
      <c r="U23" s="137" t="str">
        <f>IF(INDEX(calc!$AB$7:$AB$41,'Report Dashboard'!$L23,1)&lt;&gt;"",INDEX(calc!$AB$7:$AB$41,'Report Dashboard'!$L23,1),"")</f>
        <v/>
      </c>
      <c r="V23" s="141" t="str">
        <f t="shared" si="0"/>
        <v>در انتظار بارگیری</v>
      </c>
      <c r="W23" s="212">
        <f t="shared" si="1"/>
        <v>30000</v>
      </c>
      <c r="X23" s="138"/>
      <c r="Y23" s="126"/>
      <c r="Z23" s="139"/>
      <c r="AA23" s="247"/>
      <c r="AB23" s="247"/>
      <c r="AC23" s="138"/>
      <c r="AD23" s="126"/>
      <c r="AE23" s="123"/>
      <c r="AF23" s="123"/>
      <c r="AG23" s="123"/>
      <c r="AH23" s="138"/>
      <c r="AI23" s="138"/>
      <c r="AJ23" s="138"/>
      <c r="AK23" s="138"/>
      <c r="AL23" s="138"/>
      <c r="AM23" s="138"/>
    </row>
    <row r="24" spans="1:39" ht="15.6" customHeight="1" x14ac:dyDescent="0.6">
      <c r="A24" s="127"/>
      <c r="B24" s="131"/>
      <c r="C24" s="132"/>
      <c r="D24" s="133"/>
      <c r="E24" s="133"/>
      <c r="F24" s="134"/>
      <c r="G24" s="131"/>
      <c r="H24" s="131"/>
      <c r="I24" s="135"/>
      <c r="J24" s="136"/>
      <c r="K24" s="127"/>
      <c r="L24" s="208">
        <f t="shared" si="2"/>
        <v>7</v>
      </c>
      <c r="M24" s="209" t="str">
        <f>IF(INDEX(calc!$Z$7:$Z$41,'Report Dashboard'!$L24,1)&lt;&gt;"",INDEX(calc!$Z$7:$Z$41,'Report Dashboard'!$L24,1),"")</f>
        <v>پ/39-1404</v>
      </c>
      <c r="N24" s="209" t="str">
        <f>IFERROR(INDEX(invoice[تاریخ],MATCH('Report Dashboard'!M24,invoice[شماره پیش فاکتور],0)),"")</f>
        <v>1404/04/31</v>
      </c>
      <c r="O24" s="209" t="str">
        <f>IFERROR(INDEX(invoice[تاریخ مجوز بهره برداری],MATCH('Report Dashboard'!M24,invoice[شماره پیش فاکتور],0)),"")</f>
        <v>1404/04/31</v>
      </c>
      <c r="P24" s="210">
        <f>IFERROR(INDEX(invoice[تاریخ انقضا],MATCH('Report Dashboard'!M24,invoice[شماره پیش فاکتور],0)),"")</f>
        <v>46101</v>
      </c>
      <c r="Q24" s="210" t="str">
        <f>IFERROR(INDEX(invoice[نوع شرکت],MATCH('Report Dashboard'!M24,invoice[شماره پیش فاکتور],0)),"")</f>
        <v>تولید کننده</v>
      </c>
      <c r="R24" s="140">
        <f>IFERROR(INDEX(invoice[میزان سفارش],MATCH('Report Dashboard'!M24,invoice[شماره پیش فاکتور],0)),"")</f>
        <v>20000</v>
      </c>
      <c r="S24" s="209" t="str">
        <f t="array" ref="S24">IFERROR(INDEX(invoice[نوع سفارش],MATCH('Report Dashboard'!M24,invoice[شماره پیش فاکتور],0)),"")</f>
        <v>بورس</v>
      </c>
      <c r="T24" s="140">
        <f>IFERROR(INDEX(invoice[فی],MATCH('Report Dashboard'!M24,invoice[شماره پیش فاکتور],0)),"")</f>
        <v>167500</v>
      </c>
      <c r="U24" s="140" t="str">
        <f>IF(INDEX(calc!$AB$7:$AB$41,'Report Dashboard'!$L24,1)&lt;&gt;"",INDEX(calc!$AB$7:$AB$41,'Report Dashboard'!$L24,1),"")</f>
        <v/>
      </c>
      <c r="V24" s="142" t="str">
        <f t="shared" si="0"/>
        <v>در انتظار بارگیری</v>
      </c>
      <c r="W24" s="211">
        <f t="shared" si="1"/>
        <v>20000</v>
      </c>
      <c r="X24" s="138"/>
      <c r="Y24" s="194" t="s">
        <v>623</v>
      </c>
      <c r="Z24" s="126"/>
      <c r="AA24" s="244">
        <f>SUMPRODUCT(calc!$CP$9:$CP$32, calc!$CO$9:$CO$32) / SUM(calc!$CO$9:$CO$32)</f>
        <v>122656.92379736305</v>
      </c>
      <c r="AB24" s="244"/>
      <c r="AC24" s="138"/>
      <c r="AD24" s="194" t="s">
        <v>623</v>
      </c>
      <c r="AE24" s="123"/>
      <c r="AF24" s="244">
        <f>SUMPRODUCT(calc!$CP$9:$CP$32, calc!$CO$9:$CO$32) / SUM(calc!$CO$9:$CO$32)</f>
        <v>122656.92379736305</v>
      </c>
      <c r="AG24" s="244"/>
      <c r="AH24" s="138"/>
      <c r="AI24" s="154"/>
      <c r="AJ24" s="138"/>
      <c r="AK24" s="138"/>
      <c r="AL24" s="138"/>
      <c r="AM24" s="138"/>
    </row>
    <row r="25" spans="1:39" ht="15.6" customHeight="1" x14ac:dyDescent="0.6">
      <c r="A25" s="127"/>
      <c r="B25" s="131"/>
      <c r="C25" s="132"/>
      <c r="D25" s="133"/>
      <c r="E25" s="133"/>
      <c r="F25" s="134"/>
      <c r="G25" s="131"/>
      <c r="H25" s="131"/>
      <c r="I25" s="135"/>
      <c r="J25" s="136"/>
      <c r="K25" s="127"/>
      <c r="L25" s="207">
        <f t="shared" si="2"/>
        <v>8</v>
      </c>
      <c r="M25" s="200" t="str">
        <f>IF(INDEX(calc!$Z$7:$Z$41,'Report Dashboard'!$L25,1)&lt;&gt;"",INDEX(calc!$Z$7:$Z$41,'Report Dashboard'!$L25,1),"")</f>
        <v>پ/24-1404</v>
      </c>
      <c r="N25" s="200" t="str">
        <f>IFERROR(INDEX(invoice[تاریخ],MATCH('Report Dashboard'!M25,invoice[شماره پیش فاکتور],0)),"")</f>
        <v>1404/03/13</v>
      </c>
      <c r="O25" s="200" t="str">
        <f>IFERROR(INDEX(invoice[تاریخ مجوز بهره برداری],MATCH('Report Dashboard'!M25,invoice[شماره پیش فاکتور],0)),"")</f>
        <v>1404/03/13</v>
      </c>
      <c r="P25" s="201">
        <f>IFERROR(INDEX(invoice[تاریخ انقضا],MATCH('Report Dashboard'!M25,invoice[شماره پیش فاکتور],0)),"")</f>
        <v>46101</v>
      </c>
      <c r="Q25" s="201" t="str">
        <f>IFERROR(INDEX(invoice[نوع شرکت],MATCH('Report Dashboard'!M25,invoice[شماره پیش فاکتور],0)),"")</f>
        <v>تولید کننده</v>
      </c>
      <c r="R25" s="137">
        <f>IFERROR(INDEX(invoice[میزان سفارش],MATCH('Report Dashboard'!M25,invoice[شماره پیش فاکتور],0)),"")</f>
        <v>40000</v>
      </c>
      <c r="S25" s="200" t="str">
        <f t="array" ref="S25">IFERROR(INDEX(invoice[نوع سفارش],MATCH('Report Dashboard'!M25,invoice[شماره پیش فاکتور],0)),"")</f>
        <v>بورس</v>
      </c>
      <c r="T25" s="137">
        <f>IFERROR(INDEX(invoice[فی],MATCH('Report Dashboard'!M25,invoice[شماره پیش فاکتور],0)),"")</f>
        <v>201000</v>
      </c>
      <c r="U25" s="137" t="str">
        <f>IF(INDEX(calc!$AB$7:$AB$41,'Report Dashboard'!$L25,1)&lt;&gt;"",INDEX(calc!$AB$7:$AB$41,'Report Dashboard'!$L25,1),"")</f>
        <v/>
      </c>
      <c r="V25" s="141" t="str">
        <f t="shared" si="0"/>
        <v>در انتظار بارگیری</v>
      </c>
      <c r="W25" s="212">
        <f t="shared" si="1"/>
        <v>40000</v>
      </c>
      <c r="X25" s="138"/>
      <c r="Y25" s="126"/>
      <c r="Z25" s="139"/>
      <c r="AA25" s="247"/>
      <c r="AB25" s="247"/>
      <c r="AC25" s="138"/>
      <c r="AD25" s="126"/>
      <c r="AE25" s="123"/>
      <c r="AF25" s="123"/>
      <c r="AG25" s="123"/>
      <c r="AH25" s="138"/>
      <c r="AI25" s="138"/>
      <c r="AJ25" s="138"/>
      <c r="AK25" s="138"/>
      <c r="AL25" s="138"/>
      <c r="AM25" s="138"/>
    </row>
    <row r="26" spans="1:39" ht="15.6" customHeight="1" x14ac:dyDescent="0.5">
      <c r="A26" s="127"/>
      <c r="B26" s="131"/>
      <c r="C26" s="132"/>
      <c r="D26" s="133"/>
      <c r="E26" s="133"/>
      <c r="F26" s="134"/>
      <c r="G26" s="131"/>
      <c r="H26" s="131"/>
      <c r="I26" s="135"/>
      <c r="J26" s="136"/>
      <c r="K26" s="127"/>
      <c r="L26" s="208">
        <f t="shared" si="2"/>
        <v>9</v>
      </c>
      <c r="M26" s="209" t="str">
        <f>IF(INDEX(calc!$Z$7:$Z$41,'Report Dashboard'!$L26,1)&lt;&gt;"",INDEX(calc!$Z$7:$Z$41,'Report Dashboard'!$L26,1),"")</f>
        <v>پ/46-1404</v>
      </c>
      <c r="N26" s="209" t="str">
        <f>IFERROR(INDEX(invoice[تاریخ],MATCH('Report Dashboard'!M26,invoice[شماره پیش فاکتور],0)),"")</f>
        <v>1404/05/06</v>
      </c>
      <c r="O26" s="209" t="str">
        <f>IFERROR(INDEX(invoice[تاریخ مجوز بهره برداری],MATCH('Report Dashboard'!M26,invoice[شماره پیش فاکتور],0)),"")</f>
        <v>1404/05/11</v>
      </c>
      <c r="P26" s="210">
        <f>IFERROR(INDEX(invoice[تاریخ انقضا],MATCH('Report Dashboard'!M26,invoice[شماره پیش فاکتور],0)),"")</f>
        <v>46101</v>
      </c>
      <c r="Q26" s="210" t="str">
        <f>IFERROR(INDEX(invoice[نوع شرکت],MATCH('Report Dashboard'!M26,invoice[شماره پیش فاکتور],0)),"")</f>
        <v>تولید کننده</v>
      </c>
      <c r="R26" s="140">
        <f>IFERROR(INDEX(invoice[میزان سفارش],MATCH('Report Dashboard'!M26,invoice[شماره پیش فاکتور],0)),"")</f>
        <v>20000</v>
      </c>
      <c r="S26" s="209" t="str">
        <f t="array" ref="S26">IFERROR(INDEX(invoice[نوع سفارش],MATCH('Report Dashboard'!M26,invoice[شماره پیش فاکتور],0)),"")</f>
        <v>تعادلی</v>
      </c>
      <c r="T26" s="140">
        <f>IFERROR(INDEX(invoice[فی],MATCH('Report Dashboard'!M26,invoice[شماره پیش فاکتور],0)),"")</f>
        <v>116500</v>
      </c>
      <c r="U26" s="140" t="str">
        <f>IF(INDEX(calc!$AB$7:$AB$41,'Report Dashboard'!$L26,1)&lt;&gt;"",INDEX(calc!$AB$7:$AB$41,'Report Dashboard'!$L26,1),"")</f>
        <v/>
      </c>
      <c r="V26" s="142" t="str">
        <f t="shared" si="0"/>
        <v>در انتظار بارگیری</v>
      </c>
      <c r="W26" s="211">
        <f t="shared" si="1"/>
        <v>20000</v>
      </c>
      <c r="X26" s="138"/>
      <c r="Y26" s="194" t="s">
        <v>621</v>
      </c>
      <c r="Z26" s="123"/>
      <c r="AA26" s="244">
        <f>SUM(calc!$CO$9:$CO$32)</f>
        <v>1719035</v>
      </c>
      <c r="AB26" s="244"/>
      <c r="AC26" s="138"/>
      <c r="AD26" s="194" t="s">
        <v>621</v>
      </c>
      <c r="AE26" s="123"/>
      <c r="AF26" s="244">
        <f>SUM(calc!$CO$9:$CO$32)</f>
        <v>1719035</v>
      </c>
      <c r="AG26" s="244"/>
      <c r="AH26" s="138"/>
      <c r="AI26" s="138"/>
      <c r="AJ26" s="138"/>
      <c r="AK26" s="138"/>
      <c r="AL26" s="138"/>
      <c r="AM26" s="138"/>
    </row>
    <row r="27" spans="1:39" ht="15.6" customHeight="1" x14ac:dyDescent="0.6">
      <c r="A27" s="127"/>
      <c r="B27" s="131"/>
      <c r="C27" s="132"/>
      <c r="D27" s="133"/>
      <c r="E27" s="133"/>
      <c r="F27" s="134"/>
      <c r="G27" s="131"/>
      <c r="H27" s="131"/>
      <c r="I27" s="135"/>
      <c r="J27" s="136"/>
      <c r="K27" s="127"/>
      <c r="L27" s="207">
        <f t="shared" si="2"/>
        <v>10</v>
      </c>
      <c r="M27" s="200" t="str">
        <f>IF(INDEX(calc!$Z$7:$Z$41,'Report Dashboard'!$L27,1)&lt;&gt;"",INDEX(calc!$Z$7:$Z$41,'Report Dashboard'!$L27,1),"")</f>
        <v>الحاقیه پ/53-1403</v>
      </c>
      <c r="N27" s="200" t="str">
        <f>IFERROR(INDEX(invoice[تاریخ],MATCH('Report Dashboard'!M27,invoice[شماره پیش فاکتور],0)),"")</f>
        <v>1404/02/29</v>
      </c>
      <c r="O27" s="200" t="str">
        <f>IFERROR(INDEX(invoice[تاریخ مجوز بهره برداری],MATCH('Report Dashboard'!M27,invoice[شماره پیش فاکتور],0)),"")</f>
        <v>1404/03/01</v>
      </c>
      <c r="P27" s="201">
        <f>IFERROR(INDEX(invoice[تاریخ انقضا],MATCH('Report Dashboard'!M27,invoice[شماره پیش فاکتور],0)),"")</f>
        <v>46132</v>
      </c>
      <c r="Q27" s="201" t="str">
        <f>IFERROR(INDEX(invoice[نوع شرکت],MATCH('Report Dashboard'!M27,invoice[شماره پیش فاکتور],0)),"")</f>
        <v>تولید کننده</v>
      </c>
      <c r="R27" s="137">
        <f>IFERROR(INDEX(invoice[میزان سفارش],MATCH('Report Dashboard'!M27,invoice[شماره پیش فاکتور],0)),"")</f>
        <v>1000000</v>
      </c>
      <c r="S27" s="200" t="str">
        <f t="array" ref="S27">IFERROR(INDEX(invoice[نوع سفارش],MATCH('Report Dashboard'!M27,invoice[شماره پیش فاکتور],0)),"")</f>
        <v>انجمن</v>
      </c>
      <c r="T27" s="137">
        <f>IFERROR(INDEX(invoice[فی],MATCH('Report Dashboard'!M27,invoice[شماره پیش فاکتور],0)),"")</f>
        <v>142000</v>
      </c>
      <c r="U27" s="137">
        <f>IF(INDEX(calc!$AB$7:$AB$41,'Report Dashboard'!$L27,1)&lt;&gt;"",INDEX(calc!$AB$7:$AB$41,'Report Dashboard'!$L27,1),"")</f>
        <v>233990</v>
      </c>
      <c r="V27" s="141">
        <f t="shared" si="0"/>
        <v>0.23399</v>
      </c>
      <c r="W27" s="212">
        <f t="shared" si="1"/>
        <v>766010</v>
      </c>
      <c r="X27" s="138"/>
      <c r="Y27" s="126"/>
      <c r="Z27" s="139"/>
      <c r="AA27" s="247"/>
      <c r="AB27" s="247"/>
      <c r="AC27" s="138"/>
      <c r="AD27" s="126"/>
      <c r="AE27" s="123"/>
      <c r="AF27" s="123"/>
      <c r="AG27" s="123"/>
      <c r="AH27" s="138"/>
      <c r="AI27" s="138"/>
      <c r="AJ27" s="138"/>
      <c r="AK27" s="138"/>
      <c r="AL27" s="138"/>
      <c r="AM27" s="138"/>
    </row>
    <row r="28" spans="1:39" ht="15.6" customHeight="1" x14ac:dyDescent="0.5">
      <c r="A28" s="127"/>
      <c r="B28" s="131"/>
      <c r="C28" s="132"/>
      <c r="D28" s="133"/>
      <c r="E28" s="133"/>
      <c r="F28" s="134"/>
      <c r="G28" s="131"/>
      <c r="H28" s="131"/>
      <c r="I28" s="135"/>
      <c r="J28" s="136"/>
      <c r="K28" s="127"/>
      <c r="L28" s="208">
        <f t="shared" si="2"/>
        <v>11</v>
      </c>
      <c r="M28" s="209" t="str">
        <f>IF(INDEX(calc!$Z$7:$Z$41,'Report Dashboard'!$L28,1)&lt;&gt;"",INDEX(calc!$Z$7:$Z$41,'Report Dashboard'!$L28,1),"")</f>
        <v>الحاقیه پ/43-1402</v>
      </c>
      <c r="N28" s="209" t="str">
        <f>IFERROR(INDEX(invoice[تاریخ],MATCH('Report Dashboard'!M28,invoice[شماره پیش فاکتور],0)),"")</f>
        <v>1404/03/22</v>
      </c>
      <c r="O28" s="209" t="str">
        <f>IFERROR(INDEX(invoice[تاریخ مجوز بهره برداری],MATCH('Report Dashboard'!M28,invoice[شماره پیش فاکتور],0)),"")</f>
        <v>1404/03/27</v>
      </c>
      <c r="P28" s="210">
        <f>IFERROR(INDEX(invoice[تاریخ انقضا],MATCH('Report Dashboard'!M28,invoice[شماره پیش فاکتور],0)),"")</f>
        <v>46132</v>
      </c>
      <c r="Q28" s="210" t="str">
        <f>IFERROR(INDEX(invoice[نوع شرکت],MATCH('Report Dashboard'!M28,invoice[شماره پیش فاکتور],0)),"")</f>
        <v>تولید کننده</v>
      </c>
      <c r="R28" s="140">
        <f>IFERROR(INDEX(invoice[میزان سفارش],MATCH('Report Dashboard'!M28,invoice[شماره پیش فاکتور],0)),"")</f>
        <v>857945</v>
      </c>
      <c r="S28" s="209" t="str">
        <f t="array" ref="S28">IFERROR(INDEX(invoice[نوع سفارش],MATCH('Report Dashboard'!M28,invoice[شماره پیش فاکتور],0)),"")</f>
        <v>عادی</v>
      </c>
      <c r="T28" s="140">
        <f>IFERROR(INDEX(invoice[فی],MATCH('Report Dashboard'!M28,invoice[شماره پیش فاکتور],0)),"")</f>
        <v>95000</v>
      </c>
      <c r="U28" s="140">
        <f>IF(INDEX(calc!$AB$7:$AB$41,'Report Dashboard'!$L28,1)&lt;&gt;"",INDEX(calc!$AB$7:$AB$41,'Report Dashboard'!$L28,1),"")</f>
        <v>271395</v>
      </c>
      <c r="V28" s="142">
        <f t="shared" si="0"/>
        <v>0.31633146646929583</v>
      </c>
      <c r="W28" s="211">
        <f t="shared" si="1"/>
        <v>586550</v>
      </c>
      <c r="X28" s="138"/>
      <c r="Y28" s="194" t="s">
        <v>324</v>
      </c>
      <c r="Z28" s="123"/>
      <c r="AA28" s="246">
        <f>(((AA26+AA22)*AA20)-(AA26*AA24))/AA22</f>
        <v>-142867.07963367581</v>
      </c>
      <c r="AB28" s="246"/>
      <c r="AC28" s="138"/>
      <c r="AD28" s="194" t="s">
        <v>624</v>
      </c>
      <c r="AE28" s="123"/>
      <c r="AF28" s="246">
        <f>AF26*(AF20-AF24)/(AF22-AF20)</f>
        <v>483504.33333333314</v>
      </c>
      <c r="AG28" s="246"/>
      <c r="AH28" s="138"/>
      <c r="AI28" s="138"/>
      <c r="AJ28" s="138"/>
      <c r="AK28" s="138"/>
      <c r="AL28" s="138"/>
      <c r="AM28" s="138"/>
    </row>
    <row r="29" spans="1:39" ht="15.6" customHeight="1" x14ac:dyDescent="0.25">
      <c r="A29" s="127"/>
      <c r="B29" s="131"/>
      <c r="C29" s="132"/>
      <c r="D29" s="133"/>
      <c r="E29" s="133"/>
      <c r="F29" s="134"/>
      <c r="G29" s="131"/>
      <c r="H29" s="131"/>
      <c r="I29" s="135"/>
      <c r="J29" s="136"/>
      <c r="K29" s="127"/>
      <c r="L29" s="207">
        <f t="shared" si="2"/>
        <v>12</v>
      </c>
      <c r="M29" s="200" t="str">
        <f>IF(INDEX(calc!$Z$7:$Z$41,'Report Dashboard'!$L29,1)&lt;&gt;"",INDEX(calc!$Z$7:$Z$41,'Report Dashboard'!$L29,1),"")</f>
        <v>پ/73-1403</v>
      </c>
      <c r="N29" s="200" t="str">
        <f>IFERROR(INDEX(invoice[تاریخ],MATCH('Report Dashboard'!M29,invoice[شماره پیش فاکتور],0)),"")</f>
        <v>1403/12/27</v>
      </c>
      <c r="O29" s="200" t="str">
        <f>IFERROR(INDEX(invoice[تاریخ مجوز بهره برداری],MATCH('Report Dashboard'!M29,invoice[شماره پیش فاکتور],0)),"")</f>
        <v>1403/12/27</v>
      </c>
      <c r="P29" s="201">
        <f>IFERROR(INDEX(invoice[تاریخ انقضا],MATCH('Report Dashboard'!M29,invoice[شماره پیش فاکتور],0)),"")</f>
        <v>46101</v>
      </c>
      <c r="Q29" s="201" t="str">
        <f>IFERROR(INDEX(invoice[نوع شرکت],MATCH('Report Dashboard'!M29,invoice[شماره پیش فاکتور],0)),"")</f>
        <v>تولید کننده</v>
      </c>
      <c r="R29" s="137">
        <f>IFERROR(INDEX(invoice[میزان سفارش],MATCH('Report Dashboard'!M29,invoice[شماره پیش فاکتور],0)),"")</f>
        <v>51540</v>
      </c>
      <c r="S29" s="200" t="str">
        <f t="array" ref="S29">IFERROR(INDEX(invoice[نوع سفارش],MATCH('Report Dashboard'!M29,invoice[شماره پیش فاکتور],0)),"")</f>
        <v>تعادلی</v>
      </c>
      <c r="T29" s="137">
        <f>IFERROR(INDEX(invoice[فی],MATCH('Report Dashboard'!M29,invoice[شماره پیش فاکتور],0)),"")</f>
        <v>65000</v>
      </c>
      <c r="U29" s="137">
        <f>IF(INDEX(calc!$AB$7:$AB$41,'Report Dashboard'!$L29,1)&lt;&gt;"",INDEX(calc!$AB$7:$AB$41,'Report Dashboard'!$L29,1),"")</f>
        <v>30065</v>
      </c>
      <c r="V29" s="141">
        <f t="shared" si="0"/>
        <v>0.58333333333333337</v>
      </c>
      <c r="W29" s="212">
        <f t="shared" si="1"/>
        <v>21475</v>
      </c>
      <c r="X29" s="138"/>
      <c r="Y29" s="139"/>
      <c r="Z29" s="139"/>
      <c r="AA29" s="139"/>
      <c r="AB29" s="139"/>
      <c r="AC29" s="138"/>
      <c r="AD29" s="123"/>
      <c r="AE29" s="123"/>
      <c r="AF29" s="123"/>
      <c r="AG29" s="123"/>
      <c r="AH29" s="138"/>
      <c r="AI29" s="138"/>
      <c r="AJ29" s="138"/>
      <c r="AK29" s="138"/>
      <c r="AL29" s="138"/>
      <c r="AM29" s="138"/>
    </row>
    <row r="30" spans="1:39" ht="15.6" customHeight="1" x14ac:dyDescent="0.25">
      <c r="A30" s="127"/>
      <c r="B30" s="131"/>
      <c r="C30" s="132"/>
      <c r="D30" s="133"/>
      <c r="E30" s="133"/>
      <c r="F30" s="134"/>
      <c r="G30" s="131"/>
      <c r="H30" s="131"/>
      <c r="I30" s="135"/>
      <c r="J30" s="136"/>
      <c r="K30" s="127"/>
      <c r="L30" s="208">
        <f t="shared" si="2"/>
        <v>13</v>
      </c>
      <c r="M30" s="209" t="str">
        <f>IF(INDEX(calc!$Z$7:$Z$41,'Report Dashboard'!$L30,1)&lt;&gt;"",INDEX(calc!$Z$7:$Z$41,'Report Dashboard'!$L30,1),"")</f>
        <v>پ/02-1404</v>
      </c>
      <c r="N30" s="209" t="str">
        <f>IFERROR(INDEX(invoice[تاریخ],MATCH('Report Dashboard'!M30,invoice[شماره پیش فاکتور],0)),"")</f>
        <v>1404/02/03</v>
      </c>
      <c r="O30" s="209" t="str">
        <f>IFERROR(INDEX(invoice[تاریخ مجوز بهره برداری],MATCH('Report Dashboard'!M30,invoice[شماره پیش فاکتور],0)),"")</f>
        <v>1404/02/03</v>
      </c>
      <c r="P30" s="210" t="str">
        <f>IFERROR(INDEX(invoice[تاریخ انقضا],MATCH('Report Dashboard'!M30,invoice[شماره پیش فاکتور],0)),"")</f>
        <v>1404/12/29</v>
      </c>
      <c r="Q30" s="210" t="str">
        <f>IFERROR(INDEX(invoice[نوع شرکت],MATCH('Report Dashboard'!M30,invoice[شماره پیش فاکتور],0)),"")</f>
        <v>تولید کننده</v>
      </c>
      <c r="R30" s="140">
        <f>IFERROR(INDEX(invoice[میزان سفارش],MATCH('Report Dashboard'!M30,invoice[شماره پیش فاکتور],0)),"")</f>
        <v>50000</v>
      </c>
      <c r="S30" s="209" t="str">
        <f t="array" ref="S30">IFERROR(INDEX(invoice[نوع سفارش],MATCH('Report Dashboard'!M30,invoice[شماره پیش فاکتور],0)),"")</f>
        <v>بورس</v>
      </c>
      <c r="T30" s="140">
        <f>IFERROR(INDEX(invoice[فی],MATCH('Report Dashboard'!M30,invoice[شماره پیش فاکتور],0)),"")</f>
        <v>126000</v>
      </c>
      <c r="U30" s="140">
        <f>IF(INDEX(calc!$AB$7:$AB$41,'Report Dashboard'!$L30,1)&lt;&gt;"",INDEX(calc!$AB$7:$AB$41,'Report Dashboard'!$L30,1),"")</f>
        <v>50000</v>
      </c>
      <c r="V30" s="142">
        <f t="shared" si="0"/>
        <v>1</v>
      </c>
      <c r="W30" s="211">
        <f t="shared" si="1"/>
        <v>0</v>
      </c>
      <c r="X30" s="138"/>
      <c r="Y30" s="139"/>
      <c r="Z30" s="139"/>
      <c r="AA30" s="139"/>
      <c r="AB30" s="139"/>
      <c r="AC30" s="138"/>
      <c r="AD30" s="123"/>
      <c r="AE30" s="123"/>
      <c r="AF30" s="123"/>
      <c r="AG30" s="123"/>
      <c r="AH30" s="138"/>
      <c r="AI30" s="138"/>
      <c r="AJ30" s="138"/>
      <c r="AK30" s="138"/>
      <c r="AL30" s="138"/>
      <c r="AM30" s="138"/>
    </row>
    <row r="31" spans="1:39" ht="15.6" customHeight="1" x14ac:dyDescent="0.25">
      <c r="A31" s="127"/>
      <c r="B31" s="131"/>
      <c r="C31" s="132"/>
      <c r="D31" s="133"/>
      <c r="E31" s="133"/>
      <c r="F31" s="134"/>
      <c r="G31" s="131"/>
      <c r="H31" s="131"/>
      <c r="I31" s="135"/>
      <c r="J31" s="136"/>
      <c r="K31" s="127"/>
      <c r="L31" s="207">
        <f t="shared" si="2"/>
        <v>14</v>
      </c>
      <c r="M31" s="200" t="str">
        <f>IF(INDEX(calc!$Z$7:$Z$41,'Report Dashboard'!$L31,1)&lt;&gt;"",INDEX(calc!$Z$7:$Z$41,'Report Dashboard'!$L31,1),"")</f>
        <v>الحاقیه پ/61-1403</v>
      </c>
      <c r="N31" s="200" t="str">
        <f>IFERROR(INDEX(invoice[تاریخ],MATCH('Report Dashboard'!M31,invoice[شماره پیش فاکتور],0)),"")</f>
        <v>1404/02/29</v>
      </c>
      <c r="O31" s="200" t="str">
        <f>IFERROR(INDEX(invoice[تاریخ مجوز بهره برداری],MATCH('Report Dashboard'!M31,invoice[شماره پیش فاکتور],0)),"")</f>
        <v>1404/03/01</v>
      </c>
      <c r="P31" s="201">
        <f>IFERROR(INDEX(invoice[تاریخ انقضا],MATCH('Report Dashboard'!M31,invoice[شماره پیش فاکتور],0)),"")</f>
        <v>46132</v>
      </c>
      <c r="Q31" s="201" t="str">
        <f>IFERROR(INDEX(invoice[نوع شرکت],MATCH('Report Dashboard'!M31,invoice[شماره پیش فاکتور],0)),"")</f>
        <v>تولید کننده</v>
      </c>
      <c r="R31" s="137">
        <f>IFERROR(INDEX(invoice[میزان سفارش],MATCH('Report Dashboard'!M31,invoice[شماره پیش فاکتور],0)),"")</f>
        <v>300000</v>
      </c>
      <c r="S31" s="200" t="str">
        <f t="array" ref="S31">IFERROR(INDEX(invoice[نوع سفارش],MATCH('Report Dashboard'!M31,invoice[شماره پیش فاکتور],0)),"")</f>
        <v>انجمن</v>
      </c>
      <c r="T31" s="137">
        <f>IFERROR(INDEX(invoice[فی],MATCH('Report Dashboard'!M31,invoice[شماره پیش فاکتور],0)),"")</f>
        <v>142000</v>
      </c>
      <c r="U31" s="137">
        <f>IF(INDEX(calc!$AB$7:$AB$41,'Report Dashboard'!$L31,1)&lt;&gt;"",INDEX(calc!$AB$7:$AB$41,'Report Dashboard'!$L31,1),"")</f>
        <v>300000</v>
      </c>
      <c r="V31" s="141">
        <f t="shared" si="0"/>
        <v>1</v>
      </c>
      <c r="W31" s="212">
        <f t="shared" si="1"/>
        <v>0</v>
      </c>
      <c r="X31" s="138"/>
      <c r="Y31" s="138"/>
      <c r="Z31" s="138"/>
      <c r="AA31" s="138"/>
      <c r="AB31" s="138"/>
      <c r="AC31" s="138"/>
      <c r="AD31" s="138"/>
      <c r="AE31" s="138"/>
      <c r="AF31" s="138"/>
      <c r="AG31" s="138"/>
      <c r="AH31" s="138"/>
      <c r="AI31" s="138"/>
      <c r="AJ31" s="138"/>
      <c r="AK31" s="138"/>
      <c r="AL31" s="138"/>
      <c r="AM31" s="138"/>
    </row>
    <row r="32" spans="1:39" ht="15.6" customHeight="1" x14ac:dyDescent="0.25">
      <c r="A32" s="127"/>
      <c r="B32" s="131"/>
      <c r="C32" s="132"/>
      <c r="D32" s="133"/>
      <c r="E32" s="133"/>
      <c r="F32" s="134"/>
      <c r="G32" s="131"/>
      <c r="H32" s="131"/>
      <c r="I32" s="135"/>
      <c r="J32" s="136"/>
      <c r="K32" s="127"/>
      <c r="L32" s="208">
        <f t="shared" si="2"/>
        <v>15</v>
      </c>
      <c r="M32" s="209" t="str">
        <f>IF(INDEX(calc!$Z$7:$Z$41,'Report Dashboard'!$L32,1)&lt;&gt;"",INDEX(calc!$Z$7:$Z$41,'Report Dashboard'!$L32,1),"")</f>
        <v>پ/71-1403</v>
      </c>
      <c r="N32" s="209" t="str">
        <f>IFERROR(INDEX(invoice[تاریخ],MATCH('Report Dashboard'!M32,invoice[شماره پیش فاکتور],0)),"")</f>
        <v>1403/12/15</v>
      </c>
      <c r="O32" s="209" t="str">
        <f>IFERROR(INDEX(invoice[تاریخ مجوز بهره برداری],MATCH('Report Dashboard'!M32,invoice[شماره پیش فاکتور],0)),"")</f>
        <v>1403/12/15</v>
      </c>
      <c r="P32" s="210">
        <f>IFERROR(INDEX(invoice[تاریخ انقضا],MATCH('Report Dashboard'!M32,invoice[شماره پیش فاکتور],0)),"")</f>
        <v>46101</v>
      </c>
      <c r="Q32" s="210" t="str">
        <f>IFERROR(INDEX(invoice[نوع شرکت],MATCH('Report Dashboard'!M32,invoice[شماره پیش فاکتور],0)),"")</f>
        <v>تولید کننده</v>
      </c>
      <c r="R32" s="140">
        <f>IFERROR(INDEX(invoice[میزان سفارش],MATCH('Report Dashboard'!M32,invoice[شماره پیش فاکتور],0)),"")</f>
        <v>30000</v>
      </c>
      <c r="S32" s="209" t="str">
        <f t="array" ref="S32">IFERROR(INDEX(invoice[نوع سفارش],MATCH('Report Dashboard'!M32,invoice[شماره پیش فاکتور],0)),"")</f>
        <v>بورس</v>
      </c>
      <c r="T32" s="140">
        <f>IFERROR(INDEX(invoice[فی],MATCH('Report Dashboard'!M32,invoice[شماره پیش فاکتور],0)),"")</f>
        <v>92179</v>
      </c>
      <c r="U32" s="140">
        <f>IF(INDEX(calc!$AB$7:$AB$41,'Report Dashboard'!$L32,1)&lt;&gt;"",INDEX(calc!$AB$7:$AB$41,'Report Dashboard'!$L32,1),"")</f>
        <v>30000</v>
      </c>
      <c r="V32" s="142">
        <f t="shared" si="0"/>
        <v>1</v>
      </c>
      <c r="W32" s="211">
        <f t="shared" si="1"/>
        <v>0</v>
      </c>
      <c r="X32" s="138"/>
      <c r="Y32" s="138"/>
      <c r="Z32" s="138"/>
      <c r="AA32" s="138"/>
      <c r="AB32" s="138"/>
      <c r="AC32" s="138"/>
      <c r="AD32" s="138"/>
      <c r="AE32" s="138"/>
      <c r="AF32" s="138"/>
      <c r="AG32" s="138"/>
      <c r="AH32" s="138"/>
      <c r="AI32" s="138"/>
      <c r="AJ32" s="138"/>
      <c r="AK32" s="138"/>
      <c r="AL32" s="138"/>
      <c r="AM32" s="138"/>
    </row>
    <row r="33" spans="1:39" ht="20.399999999999999" x14ac:dyDescent="0.25">
      <c r="A33" s="127"/>
      <c r="B33" s="127"/>
      <c r="C33" s="127"/>
      <c r="D33" s="127"/>
      <c r="E33" s="127"/>
      <c r="F33" s="127"/>
      <c r="G33" s="127"/>
      <c r="H33" s="127"/>
      <c r="I33" s="127"/>
      <c r="J33" s="138"/>
      <c r="K33" s="138"/>
      <c r="L33" s="207">
        <f t="shared" si="2"/>
        <v>16</v>
      </c>
      <c r="M33" s="200" t="str">
        <f>IF(INDEX(calc!$Z$7:$Z$41,'Report Dashboard'!$L33,1)&lt;&gt;"",INDEX(calc!$Z$7:$Z$41,'Report Dashboard'!$L33,1),"")</f>
        <v>پ/43-1402</v>
      </c>
      <c r="N33" s="200" t="str">
        <f>IFERROR(INDEX(invoice[تاریخ],MATCH('Report Dashboard'!M33,invoice[شماره پیش فاکتور],0)),"")</f>
        <v>1403/01/01</v>
      </c>
      <c r="O33" s="200" t="str">
        <f>IFERROR(INDEX(invoice[تاریخ مجوز بهره برداری],MATCH('Report Dashboard'!M33,invoice[شماره پیش فاکتور],0)),"")</f>
        <v>1403/02/10</v>
      </c>
      <c r="P33" s="201">
        <f>IFERROR(INDEX(invoice[تاریخ انقضا],MATCH('Report Dashboard'!M33,invoice[شماره پیش فاکتور],0)),"")</f>
        <v>46101</v>
      </c>
      <c r="Q33" s="201" t="str">
        <f>IFERROR(INDEX(invoice[نوع شرکت],MATCH('Report Dashboard'!M33,invoice[شماره پیش فاکتور],0)),"")</f>
        <v>تولید کننده</v>
      </c>
      <c r="R33" s="137">
        <f>IFERROR(INDEX(invoice[میزان سفارش],MATCH('Report Dashboard'!M33,invoice[شماره پیش فاکتور],0)),"")</f>
        <v>3084015</v>
      </c>
      <c r="S33" s="200" t="str">
        <f t="array" ref="S33">IFERROR(INDEX(invoice[نوع سفارش],MATCH('Report Dashboard'!M33,invoice[شماره پیش فاکتور],0)),"")</f>
        <v>عادی</v>
      </c>
      <c r="T33" s="137">
        <f>IFERROR(INDEX(invoice[فی],MATCH('Report Dashboard'!M33,invoice[شماره پیش فاکتور],0)),"")</f>
        <v>68500</v>
      </c>
      <c r="U33" s="137">
        <f>IF(INDEX(calc!$AB$7:$AB$41,'Report Dashboard'!$L33,1)&lt;&gt;"",INDEX(calc!$AB$7:$AB$41,'Report Dashboard'!$L33,1),"")</f>
        <v>3084015</v>
      </c>
      <c r="V33" s="141">
        <f t="shared" si="0"/>
        <v>1</v>
      </c>
      <c r="W33" s="212">
        <f t="shared" si="1"/>
        <v>0</v>
      </c>
      <c r="X33" s="138"/>
      <c r="Y33" s="138"/>
      <c r="Z33" s="138"/>
      <c r="AA33" s="138"/>
      <c r="AB33" s="138"/>
      <c r="AC33" s="138"/>
      <c r="AD33" s="138"/>
      <c r="AE33" s="138"/>
      <c r="AF33" s="138"/>
      <c r="AG33" s="138"/>
      <c r="AH33" s="138"/>
      <c r="AI33" s="138"/>
      <c r="AJ33" s="154"/>
      <c r="AK33" s="154"/>
      <c r="AL33" s="154"/>
      <c r="AM33" s="154"/>
    </row>
    <row r="34" spans="1:39" ht="20.399999999999999" x14ac:dyDescent="0.25">
      <c r="A34" s="127"/>
      <c r="B34" s="127"/>
      <c r="C34" s="127"/>
      <c r="D34" s="127"/>
      <c r="E34" s="127"/>
      <c r="F34" s="127"/>
      <c r="G34" s="127"/>
      <c r="H34" s="127"/>
      <c r="I34" s="127"/>
      <c r="J34" s="138"/>
      <c r="K34" s="138"/>
      <c r="L34" s="208">
        <f t="shared" si="2"/>
        <v>17</v>
      </c>
      <c r="M34" s="209" t="str">
        <f>IF(INDEX(calc!$Z$7:$Z$41,'Report Dashboard'!$L34,1)&lt;&gt;"",INDEX(calc!$Z$7:$Z$41,'Report Dashboard'!$L34,1),"")</f>
        <v>پ/22-1403</v>
      </c>
      <c r="N34" s="209" t="str">
        <f>IFERROR(INDEX(invoice[تاریخ],MATCH('Report Dashboard'!M34,invoice[شماره پیش فاکتور],0)),"")</f>
        <v>1403/12/01</v>
      </c>
      <c r="O34" s="209" t="str">
        <f>IFERROR(INDEX(invoice[تاریخ مجوز بهره برداری],MATCH('Report Dashboard'!M34,invoice[شماره پیش فاکتور],0)),"")</f>
        <v>1403/12/01</v>
      </c>
      <c r="P34" s="210">
        <f>IFERROR(INDEX(invoice[تاریخ انقضا],MATCH('Report Dashboard'!M34,invoice[شماره پیش فاکتور],0)),"")</f>
        <v>46101</v>
      </c>
      <c r="Q34" s="210" t="str">
        <f>IFERROR(INDEX(invoice[نوع شرکت],MATCH('Report Dashboard'!M34,invoice[شماره پیش فاکتور],0)),"")</f>
        <v>تولید کننده</v>
      </c>
      <c r="R34" s="140">
        <f>IFERROR(INDEX(invoice[میزان سفارش],MATCH('Report Dashboard'!M34,invoice[شماره پیش فاکتور],0)),"")</f>
        <v>50000</v>
      </c>
      <c r="S34" s="209" t="str">
        <f t="array" ref="S34">IFERROR(INDEX(invoice[نوع سفارش],MATCH('Report Dashboard'!M34,invoice[شماره پیش فاکتور],0)),"")</f>
        <v>بورس</v>
      </c>
      <c r="T34" s="140">
        <f>IFERROR(INDEX(invoice[فی],MATCH('Report Dashboard'!M34,invoice[شماره پیش فاکتور],0)),"")</f>
        <v>83800</v>
      </c>
      <c r="U34" s="140">
        <f>IF(INDEX(calc!$AB$7:$AB$41,'Report Dashboard'!$L34,1)&lt;&gt;"",INDEX(calc!$AB$7:$AB$41,'Report Dashboard'!$L34,1),"")</f>
        <v>50000</v>
      </c>
      <c r="V34" s="142">
        <f>IFERROR(IF(AND(R34&lt;&gt;"",U34=""),"در انتظار بارگیری",IF(R34&lt;&gt;0,U34/R34,0)),"")</f>
        <v>1</v>
      </c>
      <c r="W34" s="211">
        <f>IF(U34="",R34,R34-U34)</f>
        <v>0</v>
      </c>
      <c r="X34" s="138"/>
      <c r="Y34" s="138"/>
      <c r="Z34" s="138"/>
      <c r="AA34" s="138"/>
      <c r="AB34" s="138"/>
      <c r="AC34" s="138"/>
      <c r="AD34" s="138"/>
      <c r="AE34" s="138"/>
      <c r="AF34" s="138"/>
      <c r="AG34" s="138"/>
      <c r="AH34" s="138"/>
      <c r="AI34" s="138"/>
      <c r="AJ34" s="154"/>
      <c r="AK34" s="154"/>
      <c r="AL34" s="154"/>
      <c r="AM34" s="154"/>
    </row>
    <row r="35" spans="1:39" ht="20.399999999999999" x14ac:dyDescent="0.25">
      <c r="A35" s="127"/>
      <c r="B35" s="127"/>
      <c r="C35" s="127"/>
      <c r="D35" s="127"/>
      <c r="E35" s="127"/>
      <c r="F35" s="127"/>
      <c r="G35" s="127"/>
      <c r="H35" s="127"/>
      <c r="I35" s="127"/>
      <c r="J35" s="138"/>
      <c r="K35" s="138"/>
      <c r="L35" s="207">
        <f t="shared" si="2"/>
        <v>18</v>
      </c>
      <c r="M35" s="200" t="str">
        <f>IF(INDEX(calc!$Z$7:$Z$41,'Report Dashboard'!$L35,1)&lt;&gt;"",INDEX(calc!$Z$7:$Z$41,'Report Dashboard'!$L35,1),"")</f>
        <v/>
      </c>
      <c r="N35" s="200" t="str">
        <f>IFERROR(INDEX(invoice[تاریخ],MATCH('Report Dashboard'!M35,invoice[شماره پیش فاکتور],0)),"")</f>
        <v/>
      </c>
      <c r="O35" s="200" t="str">
        <f>IFERROR(INDEX(invoice[تاریخ مجوز بهره برداری],MATCH('Report Dashboard'!M35,invoice[شماره پیش فاکتور],0)),"")</f>
        <v/>
      </c>
      <c r="P35" s="201" t="str">
        <f>IFERROR(INDEX(invoice[تاریخ انقضا],MATCH('Report Dashboard'!M35,invoice[شماره پیش فاکتور],0)),"")</f>
        <v/>
      </c>
      <c r="Q35" s="201" t="str">
        <f>IFERROR(INDEX(invoice[نوع شرکت],MATCH('Report Dashboard'!M35,invoice[شماره پیش فاکتور],0)),"")</f>
        <v/>
      </c>
      <c r="R35" s="137" t="str">
        <f>IFERROR(INDEX(invoice[میزان سفارش],MATCH('Report Dashboard'!M35,invoice[شماره پیش فاکتور],0)),"")</f>
        <v/>
      </c>
      <c r="S35" s="200" t="str">
        <f t="array" ref="S35">IFERROR(INDEX(invoice[نوع سفارش],MATCH('Report Dashboard'!M35,invoice[شماره پیش فاکتور],0)),"")</f>
        <v/>
      </c>
      <c r="T35" s="137" t="str">
        <f>IFERROR(INDEX(invoice[فی],MATCH('Report Dashboard'!M35,invoice[شماره پیش فاکتور],0)),"")</f>
        <v/>
      </c>
      <c r="U35" s="137" t="str">
        <f>IF(INDEX(calc!$AB$7:$AB$41,'Report Dashboard'!$L35,1)&lt;&gt;"",INDEX(calc!$AB$7:$AB$41,'Report Dashboard'!$L35,1),"")</f>
        <v/>
      </c>
      <c r="V35" s="141" t="str">
        <f>IFERROR(IF(AND(R35&lt;&gt;"",U35=""),"در انتظار بارگیری",IF(R35&lt;&gt;0,U35/R35,0)),"")</f>
        <v/>
      </c>
      <c r="W35" s="212" t="str">
        <f>IF(U35="",R35,R35-U35)</f>
        <v/>
      </c>
      <c r="X35" s="138"/>
      <c r="Y35" s="138"/>
      <c r="Z35" s="138"/>
      <c r="AA35" s="138"/>
      <c r="AB35" s="138"/>
      <c r="AC35" s="138"/>
      <c r="AD35" s="138"/>
      <c r="AE35" s="138"/>
      <c r="AF35" s="138"/>
      <c r="AG35" s="138"/>
      <c r="AH35" s="138"/>
      <c r="AI35" s="138"/>
      <c r="AJ35" s="154"/>
      <c r="AK35" s="154"/>
      <c r="AL35" s="154"/>
      <c r="AM35" s="154"/>
    </row>
    <row r="36" spans="1:39" ht="20.399999999999999" x14ac:dyDescent="0.25">
      <c r="A36" s="127"/>
      <c r="B36" s="127"/>
      <c r="C36" s="127"/>
      <c r="D36" s="127"/>
      <c r="E36" s="127"/>
      <c r="F36" s="127"/>
      <c r="G36" s="127"/>
      <c r="H36" s="127"/>
      <c r="I36" s="127"/>
      <c r="J36" s="138"/>
      <c r="K36" s="138"/>
      <c r="L36" s="208">
        <f t="shared" si="2"/>
        <v>19</v>
      </c>
      <c r="M36" s="209" t="str">
        <f>IF(INDEX(calc!$Z$7:$Z$41,'Report Dashboard'!$L36,1)&lt;&gt;"",INDEX(calc!$Z$7:$Z$41,'Report Dashboard'!$L36,1),"")</f>
        <v/>
      </c>
      <c r="N36" s="209" t="str">
        <f>IFERROR(INDEX(invoice[تاریخ],MATCH('Report Dashboard'!M36,invoice[شماره پیش فاکتور],0)),"")</f>
        <v/>
      </c>
      <c r="O36" s="209" t="str">
        <f>IFERROR(INDEX(invoice[تاریخ مجوز بهره برداری],MATCH('Report Dashboard'!M36,invoice[شماره پیش فاکتور],0)),"")</f>
        <v/>
      </c>
      <c r="P36" s="210" t="str">
        <f>IFERROR(INDEX(invoice[تاریخ انقضا],MATCH('Report Dashboard'!M36,invoice[شماره پیش فاکتور],0)),"")</f>
        <v/>
      </c>
      <c r="Q36" s="210" t="str">
        <f>IFERROR(INDEX(invoice[نوع شرکت],MATCH('Report Dashboard'!M36,invoice[شماره پیش فاکتور],0)),"")</f>
        <v/>
      </c>
      <c r="R36" s="140" t="str">
        <f>IFERROR(INDEX(invoice[میزان سفارش],MATCH('Report Dashboard'!M36,invoice[شماره پیش فاکتور],0)),"")</f>
        <v/>
      </c>
      <c r="S36" s="209" t="str">
        <f t="array" ref="S36">IFERROR(INDEX(invoice[نوع سفارش],MATCH('Report Dashboard'!M36,invoice[شماره پیش فاکتور],0)),"")</f>
        <v/>
      </c>
      <c r="T36" s="140" t="str">
        <f>IFERROR(INDEX(invoice[فی],MATCH('Report Dashboard'!M36,invoice[شماره پیش فاکتور],0)),"")</f>
        <v/>
      </c>
      <c r="U36" s="140" t="str">
        <f>IF(INDEX(calc!$AB$7:$AB$41,'Report Dashboard'!$L36,1)&lt;&gt;"",INDEX(calc!$AB$7:$AB$41,'Report Dashboard'!$L36,1),"")</f>
        <v/>
      </c>
      <c r="V36" s="142" t="str">
        <f>IFERROR(IF(AND(R36&lt;&gt;"",U36=""),"در انتظار بارگیری",IF(R36&lt;&gt;0,U36/R36,0)),"")</f>
        <v/>
      </c>
      <c r="W36" s="211" t="str">
        <f>IF(U36="",R36,R36-U36)</f>
        <v/>
      </c>
      <c r="X36" s="138"/>
      <c r="Y36" s="138"/>
      <c r="Z36" s="138"/>
      <c r="AA36" s="138"/>
      <c r="AB36" s="138"/>
      <c r="AC36" s="138"/>
      <c r="AD36" s="138"/>
      <c r="AE36" s="138"/>
      <c r="AF36" s="138"/>
      <c r="AG36" s="138"/>
      <c r="AH36" s="138"/>
      <c r="AI36" s="138"/>
      <c r="AJ36" s="154"/>
      <c r="AK36" s="154"/>
      <c r="AL36" s="154"/>
      <c r="AM36" s="154"/>
    </row>
    <row r="37" spans="1:39" ht="20.399999999999999" x14ac:dyDescent="0.25">
      <c r="A37" s="127"/>
      <c r="B37" s="127"/>
      <c r="C37" s="127"/>
      <c r="D37" s="127"/>
      <c r="E37" s="127"/>
      <c r="F37" s="127"/>
      <c r="G37" s="127"/>
      <c r="H37" s="127"/>
      <c r="I37" s="127"/>
      <c r="J37" s="138"/>
      <c r="K37" s="138"/>
      <c r="L37" s="213">
        <f t="shared" si="2"/>
        <v>20</v>
      </c>
      <c r="M37" s="214" t="str">
        <f>IF(INDEX(calc!$Z$7:$Z$41,'Report Dashboard'!$L37,1)&lt;&gt;"",INDEX(calc!$Z$7:$Z$41,'Report Dashboard'!$L37,1),"")</f>
        <v/>
      </c>
      <c r="N37" s="214" t="str">
        <f>IFERROR(INDEX(invoice[تاریخ],MATCH('Report Dashboard'!M37,invoice[شماره پیش فاکتور],0)),"")</f>
        <v/>
      </c>
      <c r="O37" s="214" t="str">
        <f>IFERROR(INDEX(invoice[تاریخ مجوز بهره برداری],MATCH('Report Dashboard'!M37,invoice[شماره پیش فاکتور],0)),"")</f>
        <v/>
      </c>
      <c r="P37" s="215" t="str">
        <f>IFERROR(INDEX(invoice[تاریخ انقضا],MATCH('Report Dashboard'!M37,invoice[شماره پیش فاکتور],0)),"")</f>
        <v/>
      </c>
      <c r="Q37" s="215" t="str">
        <f>IFERROR(INDEX(invoice[نوع شرکت],MATCH('Report Dashboard'!M37,invoice[شماره پیش فاکتور],0)),"")</f>
        <v/>
      </c>
      <c r="R37" s="216" t="str">
        <f>IFERROR(INDEX(invoice[میزان سفارش],MATCH('Report Dashboard'!M37,invoice[شماره پیش فاکتور],0)),"")</f>
        <v/>
      </c>
      <c r="S37" s="214" t="str">
        <f t="array" ref="S37">IFERROR(INDEX(invoice[نوع سفارش],MATCH('Report Dashboard'!M37,invoice[شماره پیش فاکتور],0)),"")</f>
        <v/>
      </c>
      <c r="T37" s="216" t="str">
        <f>IFERROR(INDEX(invoice[فی],MATCH('Report Dashboard'!M37,invoice[شماره پیش فاکتور],0)),"")</f>
        <v/>
      </c>
      <c r="U37" s="216" t="str">
        <f>IF(INDEX(calc!$AB$7:$AB$41,'Report Dashboard'!$L37,1)&lt;&gt;"",INDEX(calc!$AB$7:$AB$41,'Report Dashboard'!$L37,1),"")</f>
        <v/>
      </c>
      <c r="V37" s="217" t="str">
        <f>IFERROR(IF(AND(R37&lt;&gt;"",U37=""),"در انتظار بارگیری",IF(R37&lt;&gt;0,U37/R37,0)),"")</f>
        <v/>
      </c>
      <c r="W37" s="218" t="str">
        <f>IF(U37="",R37,R37-U37)</f>
        <v/>
      </c>
      <c r="X37" s="138"/>
      <c r="Y37" s="138"/>
      <c r="Z37" s="138"/>
      <c r="AA37" s="138"/>
      <c r="AB37" s="138"/>
      <c r="AC37" s="138"/>
      <c r="AD37" s="138"/>
      <c r="AE37" s="138"/>
      <c r="AF37" s="138"/>
      <c r="AG37" s="138"/>
      <c r="AH37" s="138"/>
      <c r="AI37" s="138"/>
      <c r="AJ37" s="154"/>
      <c r="AK37" s="154"/>
      <c r="AL37" s="154"/>
      <c r="AM37" s="154"/>
    </row>
    <row r="38" spans="1:39" x14ac:dyDescent="0.25">
      <c r="A38" s="127"/>
      <c r="B38" s="127"/>
      <c r="C38" s="127"/>
      <c r="D38" s="127"/>
      <c r="E38" s="127"/>
      <c r="F38" s="127"/>
      <c r="G38" s="127"/>
      <c r="H38" s="127"/>
      <c r="I38" s="127"/>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54"/>
      <c r="AK38" s="154"/>
      <c r="AL38" s="154"/>
      <c r="AM38" s="154"/>
    </row>
    <row r="39" spans="1:39" x14ac:dyDescent="0.25">
      <c r="A39" s="127"/>
      <c r="B39" s="127"/>
      <c r="C39" s="127"/>
      <c r="D39" s="127"/>
      <c r="E39" s="127"/>
      <c r="F39" s="127"/>
      <c r="G39" s="127"/>
      <c r="H39" s="127"/>
      <c r="I39" s="127"/>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54"/>
      <c r="AK39" s="154"/>
      <c r="AL39" s="154"/>
      <c r="AM39" s="154"/>
    </row>
    <row r="40" spans="1:39" x14ac:dyDescent="0.25">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row>
    <row r="41" spans="1:39" x14ac:dyDescent="0.25">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row>
    <row r="42" spans="1:39" x14ac:dyDescent="0.25">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row>
    <row r="43" spans="1:39" x14ac:dyDescent="0.25">
      <c r="A43" s="138"/>
      <c r="B43" s="138"/>
      <c r="C43" s="138"/>
      <c r="D43" s="138"/>
      <c r="E43" s="138"/>
      <c r="F43" s="138"/>
      <c r="G43" s="138"/>
      <c r="H43" s="138"/>
      <c r="I43" s="138"/>
      <c r="J43" s="138"/>
      <c r="K43" s="138"/>
      <c r="L43" s="138"/>
      <c r="M43" s="138"/>
      <c r="N43" s="138"/>
      <c r="O43" s="138"/>
      <c r="P43" s="220"/>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row>
    <row r="44" spans="1:39" x14ac:dyDescent="0.25">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row>
    <row r="45" spans="1:39" x14ac:dyDescent="0.25">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row>
    <row r="46" spans="1:39" x14ac:dyDescent="0.25">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row>
    <row r="47" spans="1:39" x14ac:dyDescent="0.25">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row>
    <row r="48" spans="1:39" x14ac:dyDescent="0.25">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row>
    <row r="49" spans="1:39" x14ac:dyDescent="0.25">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row>
    <row r="50" spans="1:39" x14ac:dyDescent="0.25">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row>
    <row r="51" spans="1:39" x14ac:dyDescent="0.25">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row>
    <row r="52" spans="1:39" x14ac:dyDescent="0.25">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row>
    <row r="53" spans="1:39" x14ac:dyDescent="0.25">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row>
    <row r="54" spans="1:39" x14ac:dyDescent="0.25">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row>
    <row r="55" spans="1:39" x14ac:dyDescent="0.25">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row>
    <row r="56" spans="1:39" x14ac:dyDescent="0.25">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row>
    <row r="57" spans="1:39" x14ac:dyDescent="0.25">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row>
    <row r="58" spans="1:39" x14ac:dyDescent="0.25">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row>
    <row r="59" spans="1:39" x14ac:dyDescent="0.25">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row>
    <row r="60" spans="1:39" x14ac:dyDescent="0.2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row>
    <row r="61" spans="1:39" x14ac:dyDescent="0.25">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row>
  </sheetData>
  <mergeCells count="25">
    <mergeCell ref="AA28:AB28"/>
    <mergeCell ref="AA21:AB21"/>
    <mergeCell ref="AA23:AB23"/>
    <mergeCell ref="AA25:AB25"/>
    <mergeCell ref="AA27:AB27"/>
    <mergeCell ref="AA20:AB20"/>
    <mergeCell ref="AA22:AB22"/>
    <mergeCell ref="AA24:AB24"/>
    <mergeCell ref="AA26:AB26"/>
    <mergeCell ref="AA5:AB5"/>
    <mergeCell ref="AA7:AB7"/>
    <mergeCell ref="AA9:AB9"/>
    <mergeCell ref="AA11:AB11"/>
    <mergeCell ref="AA13:AB13"/>
    <mergeCell ref="AA19:AB19"/>
    <mergeCell ref="AF5:AG5"/>
    <mergeCell ref="AF7:AG7"/>
    <mergeCell ref="AF9:AG9"/>
    <mergeCell ref="AF13:AG13"/>
    <mergeCell ref="AF20:AG20"/>
    <mergeCell ref="AF24:AG24"/>
    <mergeCell ref="AF26:AG26"/>
    <mergeCell ref="AF11:AG11"/>
    <mergeCell ref="AF28:AG28"/>
    <mergeCell ref="AF22:AG22"/>
  </mergeCells>
  <conditionalFormatting sqref="I18:I32">
    <cfRule type="dataBar" priority="4">
      <dataBar>
        <cfvo type="min"/>
        <cfvo type="max"/>
        <color rgb="FF00DA6D"/>
      </dataBar>
      <extLst>
        <ext xmlns:x14="http://schemas.microsoft.com/office/spreadsheetml/2009/9/main" uri="{B025F937-C7B1-47D3-B67F-A62EFF666E3E}">
          <x14:id>{CCB8094C-B4C6-4400-9640-10FFE95612F6}</x14:id>
        </ext>
      </extLst>
    </cfRule>
  </conditionalFormatting>
  <conditionalFormatting sqref="V18:V37">
    <cfRule type="dataBar" priority="2">
      <dataBar>
        <cfvo type="num" val="0"/>
        <cfvo type="num" val="1"/>
        <color rgb="FF69FF69"/>
      </dataBar>
      <extLst>
        <ext xmlns:x14="http://schemas.microsoft.com/office/spreadsheetml/2009/9/main" uri="{B025F937-C7B1-47D3-B67F-A62EFF666E3E}">
          <x14:id>{E08A87A8-BA42-4270-9944-267652C3738C}</x14:id>
        </ext>
      </extLst>
    </cfRule>
  </conditionalFormatting>
  <dataValidations count="4">
    <dataValidation type="whole" operator="greaterThan" allowBlank="1" showInputMessage="1" showErrorMessage="1" prompt="لطفا تناژ مورد نظر را وارد نمایید_x000a_" sqref="AA7:AB7" xr:uid="{E5EDA431-8D0F-401B-99A3-47A5728706F4}">
      <formula1>0</formula1>
    </dataValidation>
    <dataValidation type="whole" operator="greaterThan" allowBlank="1" showInputMessage="1" showErrorMessage="1" prompt="لطفا قیمت تعادلی مد نظر را به ریال وارد نمایید." sqref="AA5:AB5" xr:uid="{679B2A5B-07E2-4BAB-BD17-407789CD3342}">
      <formula1>0</formula1>
    </dataValidation>
    <dataValidation type="whole" operator="greaterThan" allowBlank="1" showInputMessage="1" showErrorMessage="1" prompt="لطفا میانگین قیمت مد نظر را به ریال وارد کنید." sqref="AA20:AB20" xr:uid="{E24AB0E1-35D4-4DC6-95BC-E53D1499B212}">
      <formula1>0</formula1>
    </dataValidation>
    <dataValidation type="whole" operator="greaterThan" allowBlank="1" showInputMessage="1" showErrorMessage="1" prompt="لطفا تناژ فروش جدید را وارد نمایید." sqref="AA22:AB22" xr:uid="{39B50094-473E-4253-9968-6D8BB32E52C1}">
      <formula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Scroll Bar 2">
              <controlPr defaultSize="0" autoPict="0">
                <anchor moveWithCells="1">
                  <from>
                    <xdr:col>9</xdr:col>
                    <xdr:colOff>670560</xdr:colOff>
                    <xdr:row>24</xdr:row>
                    <xdr:rowOff>198120</xdr:rowOff>
                  </from>
                  <to>
                    <xdr:col>9</xdr:col>
                    <xdr:colOff>922020</xdr:colOff>
                    <xdr:row>37</xdr:row>
                    <xdr:rowOff>38100</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20</xdr:col>
                    <xdr:colOff>502920</xdr:colOff>
                    <xdr:row>0</xdr:row>
                    <xdr:rowOff>68580</xdr:rowOff>
                  </from>
                  <to>
                    <xdr:col>21</xdr:col>
                    <xdr:colOff>434340</xdr:colOff>
                    <xdr:row>1</xdr:row>
                    <xdr:rowOff>91440</xdr:rowOff>
                  </to>
                </anchor>
              </controlPr>
            </control>
          </mc:Choice>
        </mc:AlternateContent>
        <mc:AlternateContent xmlns:mc="http://schemas.openxmlformats.org/markup-compatibility/2006">
          <mc:Choice Requires="x14">
            <control shapeId="1029" r:id="rId6" name="Check Box 5">
              <controlPr defaultSize="0" autoFill="0" autoLine="0" autoPict="0" altText="تعداد بارگیری">
                <anchor moveWithCells="1">
                  <from>
                    <xdr:col>19</xdr:col>
                    <xdr:colOff>487680</xdr:colOff>
                    <xdr:row>0</xdr:row>
                    <xdr:rowOff>60960</xdr:rowOff>
                  </from>
                  <to>
                    <xdr:col>20</xdr:col>
                    <xdr:colOff>518160</xdr:colOff>
                    <xdr:row>1</xdr:row>
                    <xdr:rowOff>83820</xdr:rowOff>
                  </to>
                </anchor>
              </controlPr>
            </control>
          </mc:Choice>
        </mc:AlternateContent>
        <mc:AlternateContent xmlns:mc="http://schemas.openxmlformats.org/markup-compatibility/2006">
          <mc:Choice Requires="x14">
            <control shapeId="1027" r:id="rId7" name="Drop Down 3">
              <controlPr defaultSize="0" autoLine="0" autoPict="0">
                <anchor moveWithCells="1">
                  <from>
                    <xdr:col>17</xdr:col>
                    <xdr:colOff>678180</xdr:colOff>
                    <xdr:row>0</xdr:row>
                    <xdr:rowOff>68580</xdr:rowOff>
                  </from>
                  <to>
                    <xdr:col>19</xdr:col>
                    <xdr:colOff>274320</xdr:colOff>
                    <xdr:row>1</xdr:row>
                    <xdr:rowOff>91440</xdr:rowOff>
                  </to>
                </anchor>
              </controlPr>
            </control>
          </mc:Choice>
        </mc:AlternateContent>
        <mc:AlternateContent xmlns:mc="http://schemas.openxmlformats.org/markup-compatibility/2006">
          <mc:Choice Requires="x14">
            <control shapeId="1031" r:id="rId8" name="Scroll Bar 7">
              <controlPr defaultSize="0" autoPict="0">
                <anchor moveWithCells="1">
                  <from>
                    <xdr:col>23</xdr:col>
                    <xdr:colOff>15240</xdr:colOff>
                    <xdr:row>15</xdr:row>
                    <xdr:rowOff>289560</xdr:rowOff>
                  </from>
                  <to>
                    <xdr:col>23</xdr:col>
                    <xdr:colOff>205740</xdr:colOff>
                    <xdr:row>36</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CCB8094C-B4C6-4400-9640-10FFE95612F6}">
            <x14:dataBar minLength="0" maxLength="100" gradient="0">
              <x14:cfvo type="autoMin"/>
              <x14:cfvo type="autoMax"/>
              <x14:negativeFillColor rgb="FFFF0000"/>
              <x14:axisColor rgb="FF000000"/>
            </x14:dataBar>
          </x14:cfRule>
          <xm:sqref>I18:I32</xm:sqref>
        </x14:conditionalFormatting>
        <x14:conditionalFormatting xmlns:xm="http://schemas.microsoft.com/office/excel/2006/main">
          <x14:cfRule type="dataBar" id="{E08A87A8-BA42-4270-9944-267652C3738C}">
            <x14:dataBar minLength="0" maxLength="100" gradient="0">
              <x14:cfvo type="num">
                <xm:f>0</xm:f>
              </x14:cfvo>
              <x14:cfvo type="num">
                <xm:f>1</xm:f>
              </x14:cfvo>
              <x14:negativeFillColor rgb="FFFF0000"/>
              <x14:axisColor rgb="FF000000"/>
            </x14:dataBar>
          </x14:cfRule>
          <xm:sqref>V18:V37</xm:sqref>
        </x14:conditionalFormatting>
      </x14:conditionalFormattings>
    </ext>
    <ext xmlns:x14="http://schemas.microsoft.com/office/spreadsheetml/2009/9/main" uri="{A8765BA9-456A-4dab-B4F3-ACF838C121DE}">
      <x14:slicerList>
        <x14:slicer r:id="rId9"/>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57335-3E0A-4773-8809-96333C4F658B}">
  <dimension ref="A1:G20"/>
  <sheetViews>
    <sheetView rightToLeft="1" workbookViewId="0">
      <selection activeCell="D4" sqref="D4"/>
    </sheetView>
  </sheetViews>
  <sheetFormatPr defaultRowHeight="13.8" x14ac:dyDescent="0.25"/>
  <cols>
    <col min="2" max="3" width="13.19921875" customWidth="1"/>
    <col min="4" max="4" width="16" customWidth="1"/>
    <col min="5" max="5" width="15.796875" customWidth="1"/>
  </cols>
  <sheetData>
    <row r="1" spans="1:7" x14ac:dyDescent="0.25">
      <c r="A1" s="222" t="s">
        <v>258</v>
      </c>
      <c r="B1" s="222" t="s">
        <v>636</v>
      </c>
      <c r="C1" s="222" t="s">
        <v>637</v>
      </c>
      <c r="D1" s="222" t="s">
        <v>638</v>
      </c>
      <c r="E1" s="222" t="s">
        <v>639</v>
      </c>
      <c r="F1" s="222" t="s">
        <v>237</v>
      </c>
      <c r="G1" s="222" t="s">
        <v>236</v>
      </c>
    </row>
    <row r="2" spans="1:7" ht="18.600000000000001" x14ac:dyDescent="0.6">
      <c r="A2">
        <v>1</v>
      </c>
      <c r="B2" s="159" t="s">
        <v>688</v>
      </c>
      <c r="C2" t="s">
        <v>150</v>
      </c>
      <c r="D2">
        <v>50000</v>
      </c>
      <c r="E2" s="226">
        <v>3750000000</v>
      </c>
      <c r="F2">
        <f>VALUE(LEFT(Table5[[#This Row],[تاریخ عرضه]],4))</f>
        <v>1403</v>
      </c>
      <c r="G2">
        <f>VALUE(MID(Table5[[#This Row],[تاریخ عرضه]],6,2))</f>
        <v>2</v>
      </c>
    </row>
    <row r="3" spans="1:7" ht="18.600000000000001" x14ac:dyDescent="0.6">
      <c r="A3">
        <v>2</v>
      </c>
      <c r="B3" s="159" t="s">
        <v>689</v>
      </c>
      <c r="C3" t="s">
        <v>579</v>
      </c>
      <c r="D3">
        <v>50000</v>
      </c>
      <c r="E3" s="226">
        <v>3750000000</v>
      </c>
      <c r="F3">
        <f>VALUE(LEFT(Table5[[#This Row],[تاریخ عرضه]],4))</f>
        <v>1403</v>
      </c>
      <c r="G3">
        <f>VALUE(MID(Table5[[#This Row],[تاریخ عرضه]],6,2))</f>
        <v>3</v>
      </c>
    </row>
    <row r="4" spans="1:7" ht="18.600000000000001" x14ac:dyDescent="0.6">
      <c r="A4">
        <v>3</v>
      </c>
      <c r="B4" s="159" t="s">
        <v>690</v>
      </c>
      <c r="C4" t="s">
        <v>640</v>
      </c>
      <c r="D4">
        <v>100000</v>
      </c>
      <c r="E4" s="226">
        <v>3957500000</v>
      </c>
      <c r="F4">
        <f>VALUE(LEFT(Table5[[#This Row],[تاریخ عرضه]],4))</f>
        <v>1403</v>
      </c>
      <c r="G4">
        <f>VALUE(MID(Table5[[#This Row],[تاریخ عرضه]],6,2))</f>
        <v>4</v>
      </c>
    </row>
    <row r="5" spans="1:7" ht="18.600000000000001" x14ac:dyDescent="0.6">
      <c r="A5">
        <v>4</v>
      </c>
      <c r="B5" s="159" t="s">
        <v>691</v>
      </c>
      <c r="C5" t="s">
        <v>471</v>
      </c>
      <c r="D5">
        <v>100000</v>
      </c>
      <c r="E5" s="226">
        <v>3650000000</v>
      </c>
      <c r="F5">
        <f>VALUE(LEFT(Table5[[#This Row],[تاریخ عرضه]],4))</f>
        <v>1403</v>
      </c>
      <c r="G5">
        <f>VALUE(MID(Table5[[#This Row],[تاریخ عرضه]],6,2))</f>
        <v>5</v>
      </c>
    </row>
    <row r="6" spans="1:7" ht="18.600000000000001" x14ac:dyDescent="0.6">
      <c r="A6">
        <v>5</v>
      </c>
      <c r="B6" s="159" t="s">
        <v>692</v>
      </c>
      <c r="C6" t="s">
        <v>159</v>
      </c>
      <c r="D6">
        <v>50000</v>
      </c>
      <c r="E6" s="226">
        <v>3750000000</v>
      </c>
      <c r="F6">
        <f>VALUE(LEFT(Table5[[#This Row],[تاریخ عرضه]],4))</f>
        <v>1403</v>
      </c>
      <c r="G6">
        <f>VALUE(MID(Table5[[#This Row],[تاریخ عرضه]],6,2))</f>
        <v>6</v>
      </c>
    </row>
    <row r="7" spans="1:7" ht="18.600000000000001" x14ac:dyDescent="0.6">
      <c r="A7">
        <v>6</v>
      </c>
      <c r="B7" s="159" t="s">
        <v>693</v>
      </c>
      <c r="C7" t="s">
        <v>159</v>
      </c>
      <c r="D7">
        <v>50000</v>
      </c>
      <c r="E7" s="226">
        <v>4600000000</v>
      </c>
      <c r="F7">
        <f>VALUE(LEFT(Table5[[#This Row],[تاریخ عرضه]],4))</f>
        <v>1403</v>
      </c>
      <c r="G7">
        <f>VALUE(MID(Table5[[#This Row],[تاریخ عرضه]],6,2))</f>
        <v>6</v>
      </c>
    </row>
    <row r="8" spans="1:7" ht="18.600000000000001" x14ac:dyDescent="0.6">
      <c r="A8">
        <v>7</v>
      </c>
      <c r="B8" s="159" t="s">
        <v>694</v>
      </c>
      <c r="C8" t="s">
        <v>641</v>
      </c>
      <c r="D8">
        <v>50000</v>
      </c>
      <c r="E8" s="226">
        <v>4609000000</v>
      </c>
      <c r="F8">
        <f>VALUE(LEFT(Table5[[#This Row],[تاریخ عرضه]],4))</f>
        <v>1403</v>
      </c>
      <c r="G8">
        <f>VALUE(MID(Table5[[#This Row],[تاریخ عرضه]],6,2))</f>
        <v>7</v>
      </c>
    </row>
    <row r="9" spans="1:7" ht="18.600000000000001" x14ac:dyDescent="0.6">
      <c r="A9">
        <v>8</v>
      </c>
      <c r="B9" s="159" t="s">
        <v>695</v>
      </c>
      <c r="C9" t="s">
        <v>641</v>
      </c>
      <c r="D9">
        <v>50000</v>
      </c>
      <c r="E9" s="226">
        <v>4609000000</v>
      </c>
      <c r="F9">
        <f>VALUE(LEFT(Table5[[#This Row],[تاریخ عرضه]],4))</f>
        <v>1403</v>
      </c>
      <c r="G9">
        <f>VALUE(MID(Table5[[#This Row],[تاریخ عرضه]],6,2))</f>
        <v>7</v>
      </c>
    </row>
    <row r="10" spans="1:7" ht="18.600000000000001" x14ac:dyDescent="0.6">
      <c r="A10">
        <v>9</v>
      </c>
      <c r="B10" s="159" t="s">
        <v>696</v>
      </c>
      <c r="C10" t="s">
        <v>428</v>
      </c>
      <c r="D10">
        <v>100000</v>
      </c>
      <c r="E10" s="226">
        <v>4609000000</v>
      </c>
      <c r="F10">
        <f>VALUE(LEFT(Table5[[#This Row],[تاریخ عرضه]],4))</f>
        <v>1403</v>
      </c>
      <c r="G10">
        <f>VALUE(MID(Table5[[#This Row],[تاریخ عرضه]],6,2))</f>
        <v>8</v>
      </c>
    </row>
    <row r="11" spans="1:7" ht="18.600000000000001" x14ac:dyDescent="0.6">
      <c r="A11">
        <v>10</v>
      </c>
      <c r="B11" s="159" t="s">
        <v>697</v>
      </c>
      <c r="C11" t="s">
        <v>412</v>
      </c>
      <c r="D11">
        <v>50000</v>
      </c>
      <c r="E11" s="226">
        <v>4190000000</v>
      </c>
      <c r="F11">
        <f>VALUE(LEFT(Table5[[#This Row],[تاریخ عرضه]],4))</f>
        <v>1403</v>
      </c>
      <c r="G11">
        <f>VALUE(MID(Table5[[#This Row],[تاریخ عرضه]],6,2))</f>
        <v>9</v>
      </c>
    </row>
    <row r="12" spans="1:7" ht="18.600000000000001" x14ac:dyDescent="0.6">
      <c r="A12">
        <v>11</v>
      </c>
      <c r="B12" s="159" t="s">
        <v>698</v>
      </c>
      <c r="C12" t="s">
        <v>386</v>
      </c>
      <c r="D12">
        <v>50000</v>
      </c>
      <c r="E12" s="226">
        <v>4190000000</v>
      </c>
      <c r="F12">
        <f>VALUE(LEFT(Table5[[#This Row],[تاریخ عرضه]],4))</f>
        <v>1403</v>
      </c>
      <c r="G12">
        <f>VALUE(MID(Table5[[#This Row],[تاریخ عرضه]],6,2))</f>
        <v>10</v>
      </c>
    </row>
    <row r="13" spans="1:7" ht="18.600000000000001" x14ac:dyDescent="0.6">
      <c r="A13">
        <v>12</v>
      </c>
      <c r="B13" s="159" t="s">
        <v>699</v>
      </c>
      <c r="C13" t="s">
        <v>370</v>
      </c>
      <c r="D13">
        <v>100000</v>
      </c>
      <c r="E13" s="226">
        <v>4608970000</v>
      </c>
      <c r="F13">
        <f>VALUE(LEFT(Table5[[#This Row],[تاریخ عرضه]],4))</f>
        <v>1403</v>
      </c>
      <c r="G13">
        <f>VALUE(MID(Table5[[#This Row],[تاریخ عرضه]],6,2))</f>
        <v>11</v>
      </c>
    </row>
    <row r="14" spans="1:7" ht="18.600000000000001" x14ac:dyDescent="0.6">
      <c r="A14">
        <v>13</v>
      </c>
      <c r="B14" s="159" t="s">
        <v>700</v>
      </c>
      <c r="C14" t="s">
        <v>171</v>
      </c>
      <c r="D14">
        <v>50000</v>
      </c>
      <c r="E14" s="226">
        <v>13860000000</v>
      </c>
      <c r="F14">
        <f>VALUE(LEFT(Table5[[#This Row],[تاریخ عرضه]],4))</f>
        <v>1403</v>
      </c>
      <c r="G14">
        <f>VALUE(MID(Table5[[#This Row],[تاریخ عرضه]],6,2))</f>
        <v>12</v>
      </c>
    </row>
    <row r="15" spans="1:7" ht="18.600000000000001" x14ac:dyDescent="0.6">
      <c r="A15">
        <v>14</v>
      </c>
      <c r="B15" s="159" t="s">
        <v>701</v>
      </c>
      <c r="C15" t="s">
        <v>339</v>
      </c>
      <c r="D15">
        <v>100000</v>
      </c>
      <c r="E15" s="226">
        <v>15120000000</v>
      </c>
      <c r="F15">
        <f>VALUE(LEFT(Table5[[#This Row],[تاریخ عرضه]],4))</f>
        <v>1404</v>
      </c>
      <c r="G15">
        <f>VALUE(MID(Table5[[#This Row],[تاریخ عرضه]],6,2))</f>
        <v>1</v>
      </c>
    </row>
    <row r="16" spans="1:7" ht="18.600000000000001" x14ac:dyDescent="0.6">
      <c r="A16">
        <v>15</v>
      </c>
      <c r="B16" s="159" t="s">
        <v>702</v>
      </c>
      <c r="C16" t="s">
        <v>530</v>
      </c>
      <c r="D16">
        <v>100000</v>
      </c>
      <c r="E16" s="226">
        <v>15115000000</v>
      </c>
      <c r="F16">
        <f>VALUE(LEFT(Table5[[#This Row],[تاریخ عرضه]],4))</f>
        <v>1404</v>
      </c>
      <c r="G16">
        <f>VALUE(MID(Table5[[#This Row],[تاریخ عرضه]],6,2))</f>
        <v>2</v>
      </c>
    </row>
    <row r="17" spans="1:7" ht="18.600000000000001" x14ac:dyDescent="0.6">
      <c r="A17">
        <v>16</v>
      </c>
      <c r="B17" s="159" t="s">
        <v>703</v>
      </c>
      <c r="C17" t="s">
        <v>529</v>
      </c>
      <c r="D17">
        <v>50000</v>
      </c>
      <c r="E17" s="226">
        <v>22110000000</v>
      </c>
      <c r="F17">
        <f>VALUE(LEFT(Table5[[#This Row],[تاریخ عرضه]],4))</f>
        <v>1404</v>
      </c>
      <c r="G17">
        <f>VALUE(MID(Table5[[#This Row],[تاریخ عرضه]],6,2))</f>
        <v>2</v>
      </c>
    </row>
    <row r="18" spans="1:7" ht="18.600000000000001" x14ac:dyDescent="0.6">
      <c r="A18">
        <v>17</v>
      </c>
      <c r="B18" s="159" t="s">
        <v>704</v>
      </c>
      <c r="C18" t="s">
        <v>608</v>
      </c>
      <c r="D18">
        <v>100000</v>
      </c>
      <c r="E18" s="226">
        <v>16750000000</v>
      </c>
      <c r="F18">
        <f>VALUE(LEFT(Table5[[#This Row],[تاریخ عرضه]],4))</f>
        <v>1404</v>
      </c>
      <c r="G18">
        <f>VALUE(MID(Table5[[#This Row],[تاریخ عرضه]],6,2))</f>
        <v>3</v>
      </c>
    </row>
    <row r="19" spans="1:7" ht="18.600000000000001" x14ac:dyDescent="0.6">
      <c r="A19">
        <v>18</v>
      </c>
      <c r="B19" s="159" t="s">
        <v>705</v>
      </c>
      <c r="C19" t="s">
        <v>642</v>
      </c>
      <c r="D19">
        <v>50000</v>
      </c>
      <c r="E19" s="226">
        <v>16750000000</v>
      </c>
      <c r="F19">
        <f>VALUE(LEFT(Table5[[#This Row],[تاریخ عرضه]],4))</f>
        <v>1404</v>
      </c>
      <c r="G19">
        <f>VALUE(MID(Table5[[#This Row],[تاریخ عرضه]],6,2))</f>
        <v>4</v>
      </c>
    </row>
    <row r="20" spans="1:7" ht="18.600000000000001" x14ac:dyDescent="0.6">
      <c r="A20">
        <v>19</v>
      </c>
      <c r="B20" s="159" t="s">
        <v>739</v>
      </c>
      <c r="C20" t="s">
        <v>728</v>
      </c>
      <c r="E20" s="226"/>
      <c r="F20">
        <f>VALUE(LEFT(Table5[[#This Row],[تاریخ عرضه]],4))</f>
        <v>1404</v>
      </c>
      <c r="G20">
        <f>VALUE(MID(Table5[[#This Row],[تاریخ عرضه]],6,2))</f>
        <v>4</v>
      </c>
    </row>
  </sheetData>
  <phoneticPr fontId="3"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453F8-0B76-45F4-960C-CD8B23DBB4FB}">
  <dimension ref="H6:Q24"/>
  <sheetViews>
    <sheetView rightToLeft="1" workbookViewId="0">
      <selection activeCell="F15" sqref="F15"/>
    </sheetView>
  </sheetViews>
  <sheetFormatPr defaultRowHeight="13.8" x14ac:dyDescent="0.25"/>
  <cols>
    <col min="10" max="10" width="19.3984375" customWidth="1"/>
    <col min="11" max="11" width="6.8984375" customWidth="1"/>
    <col min="13" max="13" width="13.796875" customWidth="1"/>
    <col min="18" max="18" width="11.8984375" bestFit="1" customWidth="1"/>
  </cols>
  <sheetData>
    <row r="6" spans="8:17" x14ac:dyDescent="0.25">
      <c r="Q6" t="s">
        <v>558</v>
      </c>
    </row>
    <row r="7" spans="8:17" x14ac:dyDescent="0.25">
      <c r="Q7" t="s">
        <v>558</v>
      </c>
    </row>
    <row r="8" spans="8:17" x14ac:dyDescent="0.25">
      <c r="H8">
        <v>34160</v>
      </c>
      <c r="K8">
        <v>151200</v>
      </c>
      <c r="L8">
        <v>34160</v>
      </c>
      <c r="M8">
        <f>L8*K8</f>
        <v>5164992000</v>
      </c>
      <c r="Q8" t="s">
        <v>558</v>
      </c>
    </row>
    <row r="9" spans="8:17" x14ac:dyDescent="0.25">
      <c r="H9">
        <v>102400</v>
      </c>
      <c r="K9">
        <v>75000</v>
      </c>
      <c r="L9">
        <v>102400</v>
      </c>
      <c r="M9">
        <f t="shared" ref="M9:M20" si="0">L9*K9</f>
        <v>7680000000</v>
      </c>
    </row>
    <row r="10" spans="8:17" x14ac:dyDescent="0.25">
      <c r="H10">
        <v>20000</v>
      </c>
      <c r="K10">
        <v>151200</v>
      </c>
      <c r="L10">
        <v>20000</v>
      </c>
      <c r="M10">
        <f t="shared" si="0"/>
        <v>3024000000</v>
      </c>
    </row>
    <row r="11" spans="8:17" x14ac:dyDescent="0.25">
      <c r="H11">
        <v>51200</v>
      </c>
      <c r="K11">
        <v>80000</v>
      </c>
      <c r="L11">
        <v>51200</v>
      </c>
      <c r="M11">
        <f t="shared" si="0"/>
        <v>4096000000</v>
      </c>
    </row>
    <row r="12" spans="8:17" x14ac:dyDescent="0.25">
      <c r="H12">
        <v>-3160</v>
      </c>
      <c r="K12">
        <v>105000</v>
      </c>
      <c r="L12">
        <v>-3160</v>
      </c>
      <c r="M12">
        <f t="shared" si="0"/>
        <v>-331800000</v>
      </c>
    </row>
    <row r="13" spans="8:17" x14ac:dyDescent="0.25">
      <c r="H13">
        <v>0</v>
      </c>
      <c r="K13">
        <v>72000</v>
      </c>
      <c r="L13">
        <v>0</v>
      </c>
      <c r="M13">
        <f t="shared" si="0"/>
        <v>0</v>
      </c>
    </row>
    <row r="14" spans="8:17" x14ac:dyDescent="0.25">
      <c r="H14">
        <v>0</v>
      </c>
      <c r="K14">
        <v>92180</v>
      </c>
      <c r="L14">
        <v>0</v>
      </c>
      <c r="M14">
        <f t="shared" si="0"/>
        <v>0</v>
      </c>
    </row>
    <row r="15" spans="8:17" x14ac:dyDescent="0.25">
      <c r="H15">
        <v>-1695</v>
      </c>
      <c r="K15">
        <v>77000</v>
      </c>
      <c r="L15">
        <v>-1695</v>
      </c>
      <c r="M15">
        <f t="shared" si="0"/>
        <v>-130515000</v>
      </c>
    </row>
    <row r="16" spans="8:17" x14ac:dyDescent="0.25">
      <c r="H16">
        <v>120000</v>
      </c>
      <c r="K16">
        <v>142000</v>
      </c>
      <c r="L16">
        <v>120000</v>
      </c>
      <c r="M16">
        <f t="shared" si="0"/>
        <v>17040000000</v>
      </c>
    </row>
    <row r="17" spans="8:13" x14ac:dyDescent="0.25">
      <c r="H17">
        <v>0</v>
      </c>
      <c r="K17">
        <v>65000</v>
      </c>
      <c r="L17">
        <v>0</v>
      </c>
      <c r="M17">
        <f t="shared" si="0"/>
        <v>0</v>
      </c>
    </row>
    <row r="18" spans="8:13" x14ac:dyDescent="0.25">
      <c r="H18">
        <v>0</v>
      </c>
      <c r="K18">
        <v>92180</v>
      </c>
      <c r="L18">
        <v>0</v>
      </c>
      <c r="M18">
        <f t="shared" si="0"/>
        <v>0</v>
      </c>
    </row>
    <row r="19" spans="8:13" x14ac:dyDescent="0.25">
      <c r="H19">
        <v>0</v>
      </c>
      <c r="K19">
        <v>65000</v>
      </c>
      <c r="L19">
        <v>0</v>
      </c>
      <c r="M19">
        <f t="shared" si="0"/>
        <v>0</v>
      </c>
    </row>
    <row r="20" spans="8:13" x14ac:dyDescent="0.25">
      <c r="H20">
        <v>0</v>
      </c>
      <c r="K20">
        <v>70000</v>
      </c>
      <c r="L20">
        <v>0</v>
      </c>
      <c r="M20">
        <f t="shared" si="0"/>
        <v>0</v>
      </c>
    </row>
    <row r="21" spans="8:13" x14ac:dyDescent="0.25">
      <c r="L21">
        <f>SUM(L8:L20)</f>
        <v>322905</v>
      </c>
      <c r="M21">
        <f>SUM(M8:M20)</f>
        <v>36542677000</v>
      </c>
    </row>
    <row r="24" spans="8:13" x14ac:dyDescent="0.25">
      <c r="J24">
        <f>M21/L21</f>
        <v>113168.50776544184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0157E-5CEE-4857-A5A5-E7723041D1CE}">
  <sheetPr codeName="Sheet2">
    <pageSetUpPr fitToPage="1"/>
  </sheetPr>
  <dimension ref="A1:O157"/>
  <sheetViews>
    <sheetView showGridLines="0" rightToLeft="1" zoomScale="91" zoomScaleNormal="91" workbookViewId="0">
      <pane ySplit="1" topLeftCell="A152" activePane="bottomLeft" state="frozen"/>
      <selection pane="bottomLeft" activeCell="A158" sqref="A158"/>
    </sheetView>
  </sheetViews>
  <sheetFormatPr defaultColWidth="10.69921875" defaultRowHeight="30.6" customHeight="1" x14ac:dyDescent="0.25"/>
  <cols>
    <col min="1" max="1" width="19.59765625" style="147" bestFit="1" customWidth="1"/>
    <col min="2" max="2" width="35.09765625" style="147" bestFit="1" customWidth="1"/>
    <col min="3" max="3" width="13.3984375" style="147" customWidth="1"/>
    <col min="4" max="4" width="22.3984375" style="147" customWidth="1"/>
    <col min="5" max="5" width="16" style="147" bestFit="1" customWidth="1"/>
    <col min="6" max="6" width="10.296875" style="147" customWidth="1"/>
    <col min="7" max="12" width="10.69921875" style="147"/>
    <col min="13" max="13" width="20.69921875" style="147" customWidth="1"/>
    <col min="14" max="14" width="16.796875" style="147" customWidth="1"/>
    <col min="15" max="15" width="10.69921875" style="199"/>
    <col min="16" max="16384" width="10.69921875" style="147"/>
  </cols>
  <sheetData>
    <row r="1" spans="1:15" ht="25.2" customHeight="1" x14ac:dyDescent="0.25">
      <c r="A1" s="146" t="s">
        <v>127</v>
      </c>
      <c r="B1" s="146" t="s">
        <v>0</v>
      </c>
      <c r="C1" s="146" t="s">
        <v>128</v>
      </c>
      <c r="D1" s="146" t="s">
        <v>130</v>
      </c>
      <c r="E1" s="146" t="s">
        <v>1</v>
      </c>
      <c r="F1" s="146" t="s">
        <v>2</v>
      </c>
      <c r="G1" s="146" t="s">
        <v>236</v>
      </c>
      <c r="H1" s="146" t="s">
        <v>237</v>
      </c>
      <c r="I1" s="146" t="s">
        <v>288</v>
      </c>
      <c r="J1" s="146" t="s">
        <v>504</v>
      </c>
      <c r="K1" s="146" t="s">
        <v>506</v>
      </c>
      <c r="L1" s="146" t="s">
        <v>513</v>
      </c>
      <c r="M1" s="153" t="s">
        <v>592</v>
      </c>
      <c r="N1" s="153" t="s">
        <v>591</v>
      </c>
      <c r="O1" s="197" t="s">
        <v>632</v>
      </c>
    </row>
    <row r="2" spans="1:15" ht="30.6" customHeight="1" x14ac:dyDescent="0.25">
      <c r="A2" s="150" t="s">
        <v>11</v>
      </c>
      <c r="B2" s="150" t="s">
        <v>98</v>
      </c>
      <c r="C2" s="150" t="s">
        <v>139</v>
      </c>
      <c r="D2" s="151" t="s">
        <v>188</v>
      </c>
      <c r="E2" s="148">
        <v>500000</v>
      </c>
      <c r="F2" s="148">
        <v>77000</v>
      </c>
      <c r="G2" s="149" t="str">
        <f>CHOOSE(MID(invoice[[#This Row],[تاریخ]],6,2),"فروردین","اردیبهشت","خرداد","تیر","مرداد","شهریور","مهر","آبان","آذر","دی","بهمن","اسفند")</f>
        <v>فروردین</v>
      </c>
      <c r="H2" s="149">
        <f>_xlfn.NUMBERVALUE(MID(invoice[[#This Row],[تاریخ]],1,4))</f>
        <v>1403</v>
      </c>
      <c r="I2" s="149" t="s">
        <v>243</v>
      </c>
      <c r="J2" s="149" t="s">
        <v>505</v>
      </c>
      <c r="K2" s="151">
        <v>46101</v>
      </c>
      <c r="L2" s="149">
        <f>IF(invoice[[#This Row],[سال]]=year,1,0)</f>
        <v>0</v>
      </c>
      <c r="M2" s="148"/>
      <c r="N2" s="149"/>
      <c r="O2" s="198">
        <f>SUMIF(bargiri[شماره پیش فاکتور],invoice[[#This Row],[شماره پیش فاکتور]],bargiri[میزان بارگیری شده])/invoice[[#This Row],[میزان سفارش]]</f>
        <v>1.00339</v>
      </c>
    </row>
    <row r="3" spans="1:15" ht="30.6" customHeight="1" x14ac:dyDescent="0.25">
      <c r="A3" s="150" t="s">
        <v>13</v>
      </c>
      <c r="B3" s="150" t="s">
        <v>99</v>
      </c>
      <c r="C3" s="150" t="s">
        <v>139</v>
      </c>
      <c r="D3" s="151" t="s">
        <v>189</v>
      </c>
      <c r="E3" s="148">
        <v>1000000</v>
      </c>
      <c r="F3" s="148">
        <v>65000</v>
      </c>
      <c r="G3" s="149" t="str">
        <f>CHOOSE(MID(invoice[[#This Row],[تاریخ]],6,2),"فروردین","اردیبهشت","خرداد","تیر","مرداد","شهریور","مهر","آبان","آذر","دی","بهمن","اسفند")</f>
        <v>فروردین</v>
      </c>
      <c r="H3" s="149">
        <f>_xlfn.NUMBERVALUE(MID(invoice[[#This Row],[تاریخ]],1,4))</f>
        <v>1403</v>
      </c>
      <c r="I3" s="149" t="s">
        <v>243</v>
      </c>
      <c r="J3" s="149" t="s">
        <v>505</v>
      </c>
      <c r="K3" s="151">
        <v>46101</v>
      </c>
      <c r="L3" s="149">
        <f>IF(invoice[[#This Row],[سال]]=year,1,0)</f>
        <v>0</v>
      </c>
      <c r="M3" s="148"/>
      <c r="N3" s="149"/>
      <c r="O3" s="198">
        <f>SUMIF(bargiri[شماره پیش فاکتور],invoice[[#This Row],[شماره پیش فاکتور]],bargiri[میزان بارگیری شده])/invoice[[#This Row],[میزان سفارش]]</f>
        <v>1.0019549999999999</v>
      </c>
    </row>
    <row r="4" spans="1:15" ht="30.6" customHeight="1" x14ac:dyDescent="0.25">
      <c r="A4" s="150" t="s">
        <v>14</v>
      </c>
      <c r="B4" s="150" t="s">
        <v>99</v>
      </c>
      <c r="C4" s="150" t="s">
        <v>139</v>
      </c>
      <c r="D4" s="151" t="s">
        <v>190</v>
      </c>
      <c r="E4" s="148">
        <v>162140</v>
      </c>
      <c r="F4" s="148">
        <v>50000</v>
      </c>
      <c r="G4" s="149" t="str">
        <f>CHOOSE(MID(invoice[[#This Row],[تاریخ]],6,2),"فروردین","اردیبهشت","خرداد","تیر","مرداد","شهریور","مهر","آبان","آذر","دی","بهمن","اسفند")</f>
        <v>فروردین</v>
      </c>
      <c r="H4" s="149">
        <f>_xlfn.NUMBERVALUE(MID(invoice[[#This Row],[تاریخ]],1,4))</f>
        <v>1403</v>
      </c>
      <c r="I4" s="149" t="s">
        <v>243</v>
      </c>
      <c r="J4" s="149" t="s">
        <v>505</v>
      </c>
      <c r="K4" s="151">
        <v>46101</v>
      </c>
      <c r="L4" s="149">
        <f>IF(invoice[[#This Row],[سال]]=year,1,0)</f>
        <v>0</v>
      </c>
      <c r="M4" s="148"/>
      <c r="N4" s="149"/>
      <c r="O4" s="198">
        <f>SUMIF(bargiri[شماره پیش فاکتور],invoice[[#This Row],[شماره پیش فاکتور]],bargiri[میزان بارگیری شده])/invoice[[#This Row],[میزان سفارش]]</f>
        <v>1.0004317256691748</v>
      </c>
    </row>
    <row r="5" spans="1:15" ht="30.6" customHeight="1" x14ac:dyDescent="0.25">
      <c r="A5" s="150" t="s">
        <v>20</v>
      </c>
      <c r="B5" s="150" t="s">
        <v>101</v>
      </c>
      <c r="C5" s="150" t="s">
        <v>139</v>
      </c>
      <c r="D5" s="151" t="s">
        <v>193</v>
      </c>
      <c r="E5" s="148">
        <v>300000</v>
      </c>
      <c r="F5" s="148">
        <v>68000</v>
      </c>
      <c r="G5" s="149" t="str">
        <f>CHOOSE(MID(invoice[[#This Row],[تاریخ]],6,2),"فروردین","اردیبهشت","خرداد","تیر","مرداد","شهریور","مهر","آبان","آذر","دی","بهمن","اسفند")</f>
        <v>فروردین</v>
      </c>
      <c r="H5" s="149">
        <f>_xlfn.NUMBERVALUE(MID(invoice[[#This Row],[تاریخ]],1,4))</f>
        <v>1403</v>
      </c>
      <c r="I5" s="149" t="s">
        <v>243</v>
      </c>
      <c r="J5" s="149" t="s">
        <v>505</v>
      </c>
      <c r="K5" s="151">
        <v>46101</v>
      </c>
      <c r="L5" s="149">
        <f>IF(invoice[[#This Row],[سال]]=year,1,0)</f>
        <v>0</v>
      </c>
      <c r="M5" s="148"/>
      <c r="N5" s="149"/>
      <c r="O5" s="198">
        <f>SUMIF(bargiri[شماره پیش فاکتور],invoice[[#This Row],[شماره پیش فاکتور]],bargiri[میزان بارگیری شده])/invoice[[#This Row],[میزان سفارش]]</f>
        <v>1</v>
      </c>
    </row>
    <row r="6" spans="1:15" ht="30.6" customHeight="1" x14ac:dyDescent="0.25">
      <c r="A6" s="150" t="s">
        <v>21</v>
      </c>
      <c r="B6" s="150" t="s">
        <v>101</v>
      </c>
      <c r="C6" s="150" t="s">
        <v>139</v>
      </c>
      <c r="D6" s="151" t="s">
        <v>194</v>
      </c>
      <c r="E6" s="148">
        <v>76560</v>
      </c>
      <c r="F6" s="148">
        <v>68000</v>
      </c>
      <c r="G6" s="149" t="str">
        <f>CHOOSE(MID(invoice[[#This Row],[تاریخ]],6,2),"فروردین","اردیبهشت","خرداد","تیر","مرداد","شهریور","مهر","آبان","آذر","دی","بهمن","اسفند")</f>
        <v>فروردین</v>
      </c>
      <c r="H6" s="149">
        <f>_xlfn.NUMBERVALUE(MID(invoice[[#This Row],[تاریخ]],1,4))</f>
        <v>1403</v>
      </c>
      <c r="I6" s="149" t="s">
        <v>243</v>
      </c>
      <c r="J6" s="149" t="s">
        <v>505</v>
      </c>
      <c r="K6" s="151">
        <v>46101</v>
      </c>
      <c r="L6" s="149">
        <f>IF(invoice[[#This Row],[سال]]=year,1,0)</f>
        <v>0</v>
      </c>
      <c r="M6" s="148"/>
      <c r="N6" s="149"/>
      <c r="O6" s="198">
        <f>SUMIF(bargiri[شماره پیش فاکتور],invoice[[#This Row],[شماره پیش فاکتور]],bargiri[میزان بارگیری شده])/invoice[[#This Row],[میزان سفارش]]</f>
        <v>1</v>
      </c>
    </row>
    <row r="7" spans="1:15" ht="30.6" customHeight="1" x14ac:dyDescent="0.25">
      <c r="A7" s="150" t="s">
        <v>27</v>
      </c>
      <c r="B7" s="150" t="s">
        <v>102</v>
      </c>
      <c r="C7" s="150" t="s">
        <v>139</v>
      </c>
      <c r="D7" s="151" t="s">
        <v>197</v>
      </c>
      <c r="E7" s="148">
        <v>99340</v>
      </c>
      <c r="F7" s="148">
        <v>56000</v>
      </c>
      <c r="G7" s="149" t="str">
        <f>CHOOSE(MID(invoice[[#This Row],[تاریخ]],6,2),"فروردین","اردیبهشت","خرداد","تیر","مرداد","شهریور","مهر","آبان","آذر","دی","بهمن","اسفند")</f>
        <v>فروردین</v>
      </c>
      <c r="H7" s="149">
        <f>_xlfn.NUMBERVALUE(MID(invoice[[#This Row],[تاریخ]],1,4))</f>
        <v>1403</v>
      </c>
      <c r="I7" s="149" t="s">
        <v>243</v>
      </c>
      <c r="J7" s="149" t="s">
        <v>505</v>
      </c>
      <c r="K7" s="151">
        <v>46101</v>
      </c>
      <c r="L7" s="149">
        <f>IF(invoice[[#This Row],[سال]]=year,1,0)</f>
        <v>0</v>
      </c>
      <c r="M7" s="148"/>
      <c r="N7" s="149"/>
      <c r="O7" s="198">
        <f>SUMIF(bargiri[شماره پیش فاکتور],invoice[[#This Row],[شماره پیش فاکتور]],bargiri[میزان بارگیری شده])/invoice[[#This Row],[میزان سفارش]]</f>
        <v>1</v>
      </c>
    </row>
    <row r="8" spans="1:15" ht="30.6" customHeight="1" x14ac:dyDescent="0.25">
      <c r="A8" s="150" t="s">
        <v>33</v>
      </c>
      <c r="B8" s="150" t="s">
        <v>103</v>
      </c>
      <c r="C8" s="150" t="s">
        <v>139</v>
      </c>
      <c r="D8" s="151" t="s">
        <v>204</v>
      </c>
      <c r="E8" s="148">
        <v>76730</v>
      </c>
      <c r="F8" s="148">
        <v>75000</v>
      </c>
      <c r="G8" s="149" t="str">
        <f>CHOOSE(MID(invoice[[#This Row],[تاریخ]],6,2),"فروردین","اردیبهشت","خرداد","تیر","مرداد","شهریور","مهر","آبان","آذر","دی","بهمن","اسفند")</f>
        <v>فروردین</v>
      </c>
      <c r="H8" s="149">
        <f>_xlfn.NUMBERVALUE(MID(invoice[[#This Row],[تاریخ]],1,4))</f>
        <v>1403</v>
      </c>
      <c r="I8" s="149" t="s">
        <v>243</v>
      </c>
      <c r="J8" s="149" t="s">
        <v>505</v>
      </c>
      <c r="K8" s="151">
        <v>46101</v>
      </c>
      <c r="L8" s="149">
        <f>IF(invoice[[#This Row],[سال]]=year,1,0)</f>
        <v>0</v>
      </c>
      <c r="M8" s="148"/>
      <c r="N8" s="149"/>
      <c r="O8" s="198">
        <f>SUMIF(bargiri[شماره پیش فاکتور],invoice[[#This Row],[شماره پیش فاکتور]],bargiri[میزان بارگیری شده])/invoice[[#This Row],[میزان سفارش]]</f>
        <v>1</v>
      </c>
    </row>
    <row r="9" spans="1:15" ht="30.6" customHeight="1" x14ac:dyDescent="0.25">
      <c r="A9" s="150" t="s">
        <v>42</v>
      </c>
      <c r="B9" s="150" t="s">
        <v>104</v>
      </c>
      <c r="C9" s="150" t="s">
        <v>139</v>
      </c>
      <c r="D9" s="151" t="s">
        <v>202</v>
      </c>
      <c r="E9" s="148">
        <v>101000</v>
      </c>
      <c r="F9" s="148">
        <v>75000</v>
      </c>
      <c r="G9" s="149" t="str">
        <f>CHOOSE(MID(invoice[[#This Row],[تاریخ]],6,2),"فروردین","اردیبهشت","خرداد","تیر","مرداد","شهریور","مهر","آبان","آذر","دی","بهمن","اسفند")</f>
        <v>فروردین</v>
      </c>
      <c r="H9" s="149">
        <f>_xlfn.NUMBERVALUE(MID(invoice[[#This Row],[تاریخ]],1,4))</f>
        <v>1403</v>
      </c>
      <c r="I9" s="149" t="s">
        <v>243</v>
      </c>
      <c r="J9" s="149" t="s">
        <v>505</v>
      </c>
      <c r="K9" s="151">
        <v>46101</v>
      </c>
      <c r="L9" s="149">
        <f>IF(invoice[[#This Row],[سال]]=year,1,0)</f>
        <v>0</v>
      </c>
      <c r="M9" s="148"/>
      <c r="N9" s="149"/>
      <c r="O9" s="198">
        <f>SUMIF(bargiri[شماره پیش فاکتور],invoice[[#This Row],[شماره پیش فاکتور]],bargiri[میزان بارگیری شده])/invoice[[#This Row],[میزان سفارش]]</f>
        <v>1</v>
      </c>
    </row>
    <row r="10" spans="1:15" ht="30.6" customHeight="1" x14ac:dyDescent="0.25">
      <c r="A10" s="150" t="s">
        <v>47</v>
      </c>
      <c r="B10" s="150" t="s">
        <v>106</v>
      </c>
      <c r="C10" s="150" t="s">
        <v>139</v>
      </c>
      <c r="D10" s="151" t="s">
        <v>158</v>
      </c>
      <c r="E10" s="148">
        <v>100000</v>
      </c>
      <c r="F10" s="148">
        <v>50000</v>
      </c>
      <c r="G10" s="149" t="str">
        <f>CHOOSE(MID(invoice[[#This Row],[تاریخ]],6,2),"فروردین","اردیبهشت","خرداد","تیر","مرداد","شهریور","مهر","آبان","آذر","دی","بهمن","اسفند")</f>
        <v>فروردین</v>
      </c>
      <c r="H10" s="149">
        <f>_xlfn.NUMBERVALUE(MID(invoice[[#This Row],[تاریخ]],1,4))</f>
        <v>1403</v>
      </c>
      <c r="I10" s="149" t="s">
        <v>243</v>
      </c>
      <c r="J10" s="149" t="s">
        <v>505</v>
      </c>
      <c r="K10" s="151">
        <v>46101</v>
      </c>
      <c r="L10" s="149">
        <f>IF(invoice[[#This Row],[سال]]=year,1,0)</f>
        <v>0</v>
      </c>
      <c r="M10" s="148"/>
      <c r="N10" s="149"/>
      <c r="O10" s="198">
        <f>SUMIF(bargiri[شماره پیش فاکتور],invoice[[#This Row],[شماره پیش فاکتور]],bargiri[میزان بارگیری شده])/invoice[[#This Row],[میزان سفارش]]</f>
        <v>1</v>
      </c>
    </row>
    <row r="11" spans="1:15" ht="30.6" customHeight="1" x14ac:dyDescent="0.25">
      <c r="A11" s="150" t="s">
        <v>48</v>
      </c>
      <c r="B11" s="150" t="s">
        <v>106</v>
      </c>
      <c r="C11" s="150" t="s">
        <v>139</v>
      </c>
      <c r="D11" s="150" t="s">
        <v>204</v>
      </c>
      <c r="E11" s="148">
        <v>902430</v>
      </c>
      <c r="F11" s="148">
        <v>65000</v>
      </c>
      <c r="G11" s="149" t="str">
        <f>CHOOSE(MID(invoice[[#This Row],[تاریخ]],6,2),"فروردین","اردیبهشت","خرداد","تیر","مرداد","شهریور","مهر","آبان","آذر","دی","بهمن","اسفند")</f>
        <v>فروردین</v>
      </c>
      <c r="H11" s="149">
        <f>_xlfn.NUMBERVALUE(MID(invoice[[#This Row],[تاریخ]],1,4))</f>
        <v>1403</v>
      </c>
      <c r="I11" s="149" t="s">
        <v>243</v>
      </c>
      <c r="J11" s="149" t="s">
        <v>505</v>
      </c>
      <c r="K11" s="151">
        <v>46101</v>
      </c>
      <c r="L11" s="149">
        <f>IF(invoice[[#This Row],[سال]]=year,1,0)</f>
        <v>0</v>
      </c>
      <c r="M11" s="148"/>
      <c r="N11" s="149"/>
      <c r="O11" s="198">
        <f>SUMIF(bargiri[شماره پیش فاکتور],invoice[[#This Row],[شماره پیش فاکتور]],bargiri[میزان بارگیری شده])/invoice[[#This Row],[میزان سفارش]]</f>
        <v>1</v>
      </c>
    </row>
    <row r="12" spans="1:15" ht="30.6" customHeight="1" x14ac:dyDescent="0.25">
      <c r="A12" s="150" t="s">
        <v>49</v>
      </c>
      <c r="B12" s="150" t="s">
        <v>106</v>
      </c>
      <c r="C12" s="150" t="s">
        <v>139</v>
      </c>
      <c r="D12" s="151" t="s">
        <v>200</v>
      </c>
      <c r="E12" s="148">
        <v>100000</v>
      </c>
      <c r="F12" s="148">
        <v>50000</v>
      </c>
      <c r="G12" s="149" t="str">
        <f>CHOOSE(MID(invoice[[#This Row],[تاریخ]],6,2),"فروردین","اردیبهشت","خرداد","تیر","مرداد","شهریور","مهر","آبان","آذر","دی","بهمن","اسفند")</f>
        <v>فروردین</v>
      </c>
      <c r="H12" s="149">
        <f>_xlfn.NUMBERVALUE(MID(invoice[[#This Row],[تاریخ]],1,4))</f>
        <v>1403</v>
      </c>
      <c r="I12" s="149" t="s">
        <v>243</v>
      </c>
      <c r="J12" s="149" t="s">
        <v>505</v>
      </c>
      <c r="K12" s="151">
        <v>46101</v>
      </c>
      <c r="L12" s="149">
        <f>IF(invoice[[#This Row],[سال]]=year,1,0)</f>
        <v>0</v>
      </c>
      <c r="M12" s="148"/>
      <c r="N12" s="149"/>
      <c r="O12" s="198">
        <f>SUMIF(bargiri[شماره پیش فاکتور],invoice[[#This Row],[شماره پیش فاکتور]],bargiri[میزان بارگیری شده])/invoice[[#This Row],[میزان سفارش]]</f>
        <v>1</v>
      </c>
    </row>
    <row r="13" spans="1:15" ht="30.6" customHeight="1" x14ac:dyDescent="0.25">
      <c r="A13" s="150" t="s">
        <v>58</v>
      </c>
      <c r="B13" s="150" t="s">
        <v>111</v>
      </c>
      <c r="C13" s="150" t="s">
        <v>139</v>
      </c>
      <c r="D13" s="151" t="s">
        <v>211</v>
      </c>
      <c r="E13" s="148">
        <v>3550</v>
      </c>
      <c r="F13" s="148">
        <v>80000</v>
      </c>
      <c r="G13" s="149" t="str">
        <f>CHOOSE(MID(invoice[[#This Row],[تاریخ]],6,2),"فروردین","اردیبهشت","خرداد","تیر","مرداد","شهریور","مهر","آبان","آذر","دی","بهمن","اسفند")</f>
        <v>فروردین</v>
      </c>
      <c r="H13" s="149">
        <f>_xlfn.NUMBERVALUE(MID(invoice[[#This Row],[تاریخ]],1,4))</f>
        <v>1403</v>
      </c>
      <c r="I13" s="149" t="s">
        <v>243</v>
      </c>
      <c r="J13" s="149" t="s">
        <v>505</v>
      </c>
      <c r="K13" s="151">
        <v>46101</v>
      </c>
      <c r="L13" s="149">
        <f>IF(invoice[[#This Row],[سال]]=year,1,0)</f>
        <v>0</v>
      </c>
      <c r="M13" s="148"/>
      <c r="N13" s="149"/>
      <c r="O13" s="198">
        <f>SUMIF(bargiri[شماره پیش فاکتور],invoice[[#This Row],[شماره پیش فاکتور]],bargiri[میزان بارگیری شده])/invoice[[#This Row],[میزان سفارش]]</f>
        <v>1</v>
      </c>
    </row>
    <row r="14" spans="1:15" ht="30.6" customHeight="1" x14ac:dyDescent="0.25">
      <c r="A14" s="150" t="s">
        <v>59</v>
      </c>
      <c r="B14" s="150" t="s">
        <v>111</v>
      </c>
      <c r="C14" s="150" t="s">
        <v>139</v>
      </c>
      <c r="D14" s="151" t="s">
        <v>211</v>
      </c>
      <c r="E14" s="148">
        <v>150000</v>
      </c>
      <c r="F14" s="148">
        <v>80000</v>
      </c>
      <c r="G14" s="149" t="str">
        <f>CHOOSE(MID(invoice[[#This Row],[تاریخ]],6,2),"فروردین","اردیبهشت","خرداد","تیر","مرداد","شهریور","مهر","آبان","آذر","دی","بهمن","اسفند")</f>
        <v>فروردین</v>
      </c>
      <c r="H14" s="149">
        <f>_xlfn.NUMBERVALUE(MID(invoice[[#This Row],[تاریخ]],1,4))</f>
        <v>1403</v>
      </c>
      <c r="I14" s="149" t="s">
        <v>243</v>
      </c>
      <c r="J14" s="149" t="s">
        <v>505</v>
      </c>
      <c r="K14" s="151">
        <v>46101</v>
      </c>
      <c r="L14" s="149">
        <f>IF(invoice[[#This Row],[سال]]=year,1,0)</f>
        <v>0</v>
      </c>
      <c r="M14" s="148"/>
      <c r="N14" s="149"/>
      <c r="O14" s="198">
        <f>SUMIF(bargiri[شماره پیش فاکتور],invoice[[#This Row],[شماره پیش فاکتور]],bargiri[میزان بارگیری شده])/invoice[[#This Row],[میزان سفارش]]</f>
        <v>1</v>
      </c>
    </row>
    <row r="15" spans="1:15" ht="30.6" customHeight="1" x14ac:dyDescent="0.25">
      <c r="A15" s="150" t="s">
        <v>66</v>
      </c>
      <c r="B15" s="150" t="s">
        <v>115</v>
      </c>
      <c r="C15" s="150" t="s">
        <v>139</v>
      </c>
      <c r="D15" s="151" t="s">
        <v>216</v>
      </c>
      <c r="E15" s="148">
        <v>369140</v>
      </c>
      <c r="F15" s="148">
        <v>45000</v>
      </c>
      <c r="G15" s="149" t="str">
        <f>CHOOSE(MID(invoice[[#This Row],[تاریخ]],6,2),"فروردین","اردیبهشت","خرداد","تیر","مرداد","شهریور","مهر","آبان","آذر","دی","بهمن","اسفند")</f>
        <v>فروردین</v>
      </c>
      <c r="H15" s="149">
        <f>_xlfn.NUMBERVALUE(MID(invoice[[#This Row],[تاریخ]],1,4))</f>
        <v>1403</v>
      </c>
      <c r="I15" s="149" t="s">
        <v>560</v>
      </c>
      <c r="J15" s="149" t="s">
        <v>505</v>
      </c>
      <c r="K15" s="151">
        <v>46101</v>
      </c>
      <c r="L15" s="149">
        <f>IF(invoice[[#This Row],[سال]]=year,1,0)</f>
        <v>0</v>
      </c>
      <c r="M15" s="148"/>
      <c r="N15" s="149"/>
      <c r="O15" s="198">
        <f>SUMIF(bargiri[شماره پیش فاکتور],invoice[[#This Row],[شماره پیش فاکتور]],bargiri[میزان بارگیری شده])/invoice[[#This Row],[میزان سفارش]]</f>
        <v>0.87682180202633142</v>
      </c>
    </row>
    <row r="16" spans="1:15" ht="30.6" customHeight="1" x14ac:dyDescent="0.25">
      <c r="A16" s="150" t="s">
        <v>77</v>
      </c>
      <c r="B16" s="150" t="s">
        <v>116</v>
      </c>
      <c r="C16" s="150" t="s">
        <v>139</v>
      </c>
      <c r="D16" s="151" t="s">
        <v>222</v>
      </c>
      <c r="E16" s="148">
        <v>3084015</v>
      </c>
      <c r="F16" s="148">
        <v>68500</v>
      </c>
      <c r="G16" s="149" t="str">
        <f>CHOOSE(MID(invoice[[#This Row],[تاریخ]],6,2),"فروردین","اردیبهشت","خرداد","تیر","مرداد","شهریور","مهر","آبان","آذر","دی","بهمن","اسفند")</f>
        <v>فروردین</v>
      </c>
      <c r="H16" s="149">
        <f>_xlfn.NUMBERVALUE(MID(invoice[[#This Row],[تاریخ]],1,4))</f>
        <v>1403</v>
      </c>
      <c r="I16" s="149" t="s">
        <v>243</v>
      </c>
      <c r="J16" s="149" t="s">
        <v>505</v>
      </c>
      <c r="K16" s="151">
        <v>46101</v>
      </c>
      <c r="L16" s="149">
        <f>IF(invoice[[#This Row],[سال]]=year,1,0)</f>
        <v>0</v>
      </c>
      <c r="M16" s="148"/>
      <c r="N16" s="149"/>
      <c r="O16" s="198">
        <f>SUMIF(bargiri[شماره پیش فاکتور],invoice[[#This Row],[شماره پیش فاکتور]],bargiri[میزان بارگیری شده])/invoice[[#This Row],[میزان سفارش]]</f>
        <v>1</v>
      </c>
    </row>
    <row r="17" spans="1:15" ht="30.6" customHeight="1" x14ac:dyDescent="0.25">
      <c r="A17" s="150" t="s">
        <v>82</v>
      </c>
      <c r="B17" s="150" t="s">
        <v>117</v>
      </c>
      <c r="C17" s="150" t="s">
        <v>139</v>
      </c>
      <c r="D17" s="151" t="s">
        <v>188</v>
      </c>
      <c r="E17" s="148">
        <v>500000</v>
      </c>
      <c r="F17" s="148">
        <v>70000</v>
      </c>
      <c r="G17" s="149" t="str">
        <f>CHOOSE(MID(invoice[[#This Row],[تاریخ]],6,2),"فروردین","اردیبهشت","خرداد","تیر","مرداد","شهریور","مهر","آبان","آذر","دی","بهمن","اسفند")</f>
        <v>فروردین</v>
      </c>
      <c r="H17" s="149">
        <f>_xlfn.NUMBERVALUE(MID(invoice[[#This Row],[تاریخ]],1,4))</f>
        <v>1403</v>
      </c>
      <c r="I17" s="149" t="s">
        <v>243</v>
      </c>
      <c r="J17" s="149" t="s">
        <v>505</v>
      </c>
      <c r="K17" s="151">
        <v>46101</v>
      </c>
      <c r="L17" s="149">
        <f>IF(invoice[[#This Row],[سال]]=year,1,0)</f>
        <v>0</v>
      </c>
      <c r="M17" s="148"/>
      <c r="N17" s="149"/>
      <c r="O17" s="198">
        <f>SUMIF(bargiri[شماره پیش فاکتور],invoice[[#This Row],[شماره پیش فاکتور]],bargiri[میزان بارگیری شده])/invoice[[#This Row],[میزان سفارش]]</f>
        <v>1</v>
      </c>
    </row>
    <row r="18" spans="1:15" ht="30.6" customHeight="1" x14ac:dyDescent="0.25">
      <c r="A18" s="150" t="s">
        <v>83</v>
      </c>
      <c r="B18" s="150" t="s">
        <v>117</v>
      </c>
      <c r="C18" s="150" t="s">
        <v>139</v>
      </c>
      <c r="D18" s="151" t="s">
        <v>204</v>
      </c>
      <c r="E18" s="148">
        <v>137590</v>
      </c>
      <c r="F18" s="148">
        <v>55000</v>
      </c>
      <c r="G18" s="149" t="str">
        <f>CHOOSE(MID(invoice[[#This Row],[تاریخ]],6,2),"فروردین","اردیبهشت","خرداد","تیر","مرداد","شهریور","مهر","آبان","آذر","دی","بهمن","اسفند")</f>
        <v>فروردین</v>
      </c>
      <c r="H18" s="149">
        <f>_xlfn.NUMBERVALUE(MID(invoice[[#This Row],[تاریخ]],1,4))</f>
        <v>1403</v>
      </c>
      <c r="I18" s="149" t="s">
        <v>243</v>
      </c>
      <c r="J18" s="149" t="s">
        <v>505</v>
      </c>
      <c r="K18" s="151">
        <v>46101</v>
      </c>
      <c r="L18" s="149">
        <f>IF(invoice[[#This Row],[سال]]=year,1,0)</f>
        <v>0</v>
      </c>
      <c r="M18" s="148"/>
      <c r="N18" s="149"/>
      <c r="O18" s="198">
        <f>SUMIF(bargiri[شماره پیش فاکتور],invoice[[#This Row],[شماره پیش فاکتور]],bargiri[میزان بارگیری شده])/invoice[[#This Row],[میزان سفارش]]</f>
        <v>1</v>
      </c>
    </row>
    <row r="19" spans="1:15" ht="30.6" customHeight="1" x14ac:dyDescent="0.25">
      <c r="A19" s="150" t="s">
        <v>84</v>
      </c>
      <c r="B19" s="150" t="s">
        <v>118</v>
      </c>
      <c r="C19" s="150" t="s">
        <v>139</v>
      </c>
      <c r="D19" s="151" t="s">
        <v>225</v>
      </c>
      <c r="E19" s="148">
        <v>6500000</v>
      </c>
      <c r="F19" s="148">
        <v>57273</v>
      </c>
      <c r="G19" s="149" t="str">
        <f>CHOOSE(MID(invoice[[#This Row],[تاریخ]],6,2),"فروردین","اردیبهشت","خرداد","تیر","مرداد","شهریور","مهر","آبان","آذر","دی","بهمن","اسفند")</f>
        <v>فروردین</v>
      </c>
      <c r="H19" s="149">
        <f>_xlfn.NUMBERVALUE(MID(invoice[[#This Row],[تاریخ]],1,4))</f>
        <v>1403</v>
      </c>
      <c r="I19" s="149" t="s">
        <v>243</v>
      </c>
      <c r="J19" s="149" t="s">
        <v>505</v>
      </c>
      <c r="K19" s="151">
        <v>46101</v>
      </c>
      <c r="L19" s="149">
        <f>IF(invoice[[#This Row],[سال]]=year,1,0)</f>
        <v>0</v>
      </c>
      <c r="M19" s="148"/>
      <c r="N19" s="149"/>
      <c r="O19" s="198">
        <f>SUMIF(bargiri[شماره پیش فاکتور],invoice[[#This Row],[شماره پیش فاکتور]],bargiri[میزان بارگیری شده])/invoice[[#This Row],[میزان سفارش]]</f>
        <v>0.70146076923076928</v>
      </c>
    </row>
    <row r="20" spans="1:15" ht="30.6" customHeight="1" x14ac:dyDescent="0.25">
      <c r="A20" s="150" t="s">
        <v>85</v>
      </c>
      <c r="B20" s="150" t="s">
        <v>118</v>
      </c>
      <c r="C20" s="150" t="s">
        <v>139</v>
      </c>
      <c r="D20" s="151" t="s">
        <v>226</v>
      </c>
      <c r="E20" s="148">
        <v>1798580</v>
      </c>
      <c r="F20" s="148">
        <v>56881</v>
      </c>
      <c r="G20" s="149" t="str">
        <f>CHOOSE(MID(invoice[[#This Row],[تاریخ]],6,2),"فروردین","اردیبهشت","خرداد","تیر","مرداد","شهریور","مهر","آبان","آذر","دی","بهمن","اسفند")</f>
        <v>فروردین</v>
      </c>
      <c r="H20" s="149">
        <f>_xlfn.NUMBERVALUE(MID(invoice[[#This Row],[تاریخ]],1,4))</f>
        <v>1403</v>
      </c>
      <c r="I20" s="149" t="s">
        <v>243</v>
      </c>
      <c r="J20" s="149" t="s">
        <v>505</v>
      </c>
      <c r="K20" s="151">
        <v>46101</v>
      </c>
      <c r="L20" s="149">
        <f>IF(invoice[[#This Row],[سال]]=year,1,0)</f>
        <v>0</v>
      </c>
      <c r="M20" s="148"/>
      <c r="N20" s="149"/>
      <c r="O20" s="198">
        <f>SUMIF(bargiri[شماره پیش فاکتور],invoice[[#This Row],[شماره پیش فاکتور]],bargiri[میزان بارگیری شده])/invoice[[#This Row],[میزان سفارش]]</f>
        <v>1</v>
      </c>
    </row>
    <row r="21" spans="1:15" ht="30.6" customHeight="1" x14ac:dyDescent="0.25">
      <c r="A21" s="150" t="s">
        <v>95</v>
      </c>
      <c r="B21" s="150" t="s">
        <v>124</v>
      </c>
      <c r="C21" s="150" t="s">
        <v>139</v>
      </c>
      <c r="D21" s="151" t="s">
        <v>216</v>
      </c>
      <c r="E21" s="148">
        <v>228610</v>
      </c>
      <c r="F21" s="148">
        <v>75000</v>
      </c>
      <c r="G21" s="149" t="str">
        <f>CHOOSE(MID(invoice[[#This Row],[تاریخ]],6,2),"فروردین","اردیبهشت","خرداد","تیر","مرداد","شهریور","مهر","آبان","آذر","دی","بهمن","اسفند")</f>
        <v>فروردین</v>
      </c>
      <c r="H21" s="149">
        <f>_xlfn.NUMBERVALUE(MID(invoice[[#This Row],[تاریخ]],1,4))</f>
        <v>1403</v>
      </c>
      <c r="I21" s="149" t="s">
        <v>560</v>
      </c>
      <c r="J21" s="149" t="s">
        <v>505</v>
      </c>
      <c r="K21" s="151">
        <v>46101</v>
      </c>
      <c r="L21" s="149">
        <f>IF(invoice[[#This Row],[سال]]=year,1,0)</f>
        <v>0</v>
      </c>
      <c r="M21" s="148"/>
      <c r="N21" s="149"/>
      <c r="O21" s="198">
        <f>SUMIF(bargiri[شماره پیش فاکتور],invoice[[#This Row],[شماره پیش فاکتور]],bargiri[میزان بارگیری شده])/invoice[[#This Row],[میزان سفارش]]</f>
        <v>0.19644809938322907</v>
      </c>
    </row>
    <row r="22" spans="1:15" ht="30.6" customHeight="1" x14ac:dyDescent="0.25">
      <c r="A22" s="150" t="s">
        <v>55</v>
      </c>
      <c r="B22" s="150" t="s">
        <v>108</v>
      </c>
      <c r="C22" s="150" t="s">
        <v>162</v>
      </c>
      <c r="D22" s="151" t="s">
        <v>209</v>
      </c>
      <c r="E22" s="148">
        <v>20000</v>
      </c>
      <c r="F22" s="148">
        <v>80000</v>
      </c>
      <c r="G22" s="149" t="str">
        <f>CHOOSE(MID(invoice[[#This Row],[تاریخ]],6,2),"فروردین","اردیبهشت","خرداد","تیر","مرداد","شهریور","مهر","آبان","آذر","دی","بهمن","اسفند")</f>
        <v>فروردین</v>
      </c>
      <c r="H22" s="149">
        <f>_xlfn.NUMBERVALUE(MID(invoice[[#This Row],[تاریخ]],1,4))</f>
        <v>1403</v>
      </c>
      <c r="I22" s="149" t="s">
        <v>243</v>
      </c>
      <c r="J22" s="149" t="s">
        <v>765</v>
      </c>
      <c r="K22" s="151">
        <v>46101</v>
      </c>
      <c r="L22" s="149">
        <f>IF(invoice[[#This Row],[سال]]=year,1,0)</f>
        <v>0</v>
      </c>
      <c r="M22" s="148"/>
      <c r="N22" s="149"/>
      <c r="O22" s="198">
        <f>SUMIF(bargiri[شماره پیش فاکتور],invoice[[#This Row],[شماره پیش فاکتور]],bargiri[میزان بارگیری شده])/invoice[[#This Row],[میزان سفارش]]</f>
        <v>1.0105</v>
      </c>
    </row>
    <row r="23" spans="1:15" ht="30.6" customHeight="1" x14ac:dyDescent="0.25">
      <c r="A23" s="150" t="s">
        <v>46</v>
      </c>
      <c r="B23" s="150" t="s">
        <v>106</v>
      </c>
      <c r="C23" s="150" t="s">
        <v>158</v>
      </c>
      <c r="D23" s="151" t="s">
        <v>167</v>
      </c>
      <c r="E23" s="148">
        <v>200000</v>
      </c>
      <c r="F23" s="148">
        <v>70000</v>
      </c>
      <c r="G23" s="149" t="str">
        <f>CHOOSE(MID(invoice[[#This Row],[تاریخ]],6,2),"فروردین","اردیبهشت","خرداد","تیر","مرداد","شهریور","مهر","آبان","آذر","دی","بهمن","اسفند")</f>
        <v>فروردین</v>
      </c>
      <c r="H23" s="149">
        <f>_xlfn.NUMBERVALUE(MID(invoice[[#This Row],[تاریخ]],1,4))</f>
        <v>1403</v>
      </c>
      <c r="I23" s="149" t="s">
        <v>243</v>
      </c>
      <c r="J23" s="149" t="s">
        <v>505</v>
      </c>
      <c r="K23" s="151">
        <v>46101</v>
      </c>
      <c r="L23" s="149">
        <f>IF(invoice[[#This Row],[سال]]=year,1,0)</f>
        <v>0</v>
      </c>
      <c r="M23" s="148"/>
      <c r="N23" s="149"/>
      <c r="O23" s="198">
        <f>SUMIF(bargiri[شماره پیش فاکتور],invoice[[#This Row],[شماره پیش فاکتور]],bargiri[میزان بارگیری شده])/invoice[[#This Row],[میزان سفارش]]</f>
        <v>1</v>
      </c>
    </row>
    <row r="24" spans="1:15" ht="30.6" customHeight="1" x14ac:dyDescent="0.25">
      <c r="A24" s="150" t="s">
        <v>32</v>
      </c>
      <c r="B24" s="150" t="s">
        <v>103</v>
      </c>
      <c r="C24" s="150" t="s">
        <v>151</v>
      </c>
      <c r="D24" s="151" t="s">
        <v>151</v>
      </c>
      <c r="E24" s="148">
        <v>50000</v>
      </c>
      <c r="F24" s="148">
        <v>80000</v>
      </c>
      <c r="G24" s="149" t="str">
        <f>CHOOSE(MID(invoice[[#This Row],[تاریخ]],6,2),"فروردین","اردیبهشت","خرداد","تیر","مرداد","شهریور","مهر","آبان","آذر","دی","بهمن","اسفند")</f>
        <v>فروردین</v>
      </c>
      <c r="H24" s="149">
        <f>_xlfn.NUMBERVALUE(MID(invoice[[#This Row],[تاریخ]],1,4))</f>
        <v>1403</v>
      </c>
      <c r="I24" s="149" t="s">
        <v>243</v>
      </c>
      <c r="J24" s="149" t="s">
        <v>505</v>
      </c>
      <c r="K24" s="151">
        <v>46101</v>
      </c>
      <c r="L24" s="149">
        <f>IF(invoice[[#This Row],[سال]]=year,1,0)</f>
        <v>0</v>
      </c>
      <c r="M24" s="148"/>
      <c r="N24" s="149"/>
      <c r="O24" s="198">
        <f>SUMIF(bargiri[شماره پیش فاکتور],invoice[[#This Row],[شماره پیش فاکتور]],bargiri[میزان بارگیری شده])/invoice[[#This Row],[میزان سفارش]]</f>
        <v>1</v>
      </c>
    </row>
    <row r="25" spans="1:15" ht="30.6" customHeight="1" x14ac:dyDescent="0.25">
      <c r="A25" s="150" t="s">
        <v>54</v>
      </c>
      <c r="B25" s="150" t="s">
        <v>108</v>
      </c>
      <c r="C25" s="150" t="s">
        <v>151</v>
      </c>
      <c r="D25" s="151" t="s">
        <v>150</v>
      </c>
      <c r="E25" s="148">
        <v>20000</v>
      </c>
      <c r="F25" s="148">
        <v>80000</v>
      </c>
      <c r="G25" s="149" t="str">
        <f>CHOOSE(MID(invoice[[#This Row],[تاریخ]],6,2),"فروردین","اردیبهشت","خرداد","تیر","مرداد","شهریور","مهر","آبان","آذر","دی","بهمن","اسفند")</f>
        <v>فروردین</v>
      </c>
      <c r="H25" s="149">
        <f>_xlfn.NUMBERVALUE(MID(invoice[[#This Row],[تاریخ]],1,4))</f>
        <v>1403</v>
      </c>
      <c r="I25" s="149" t="s">
        <v>243</v>
      </c>
      <c r="J25" s="149" t="s">
        <v>765</v>
      </c>
      <c r="K25" s="151">
        <v>46101</v>
      </c>
      <c r="L25" s="149">
        <f>IF(invoice[[#This Row],[سال]]=year,1,0)</f>
        <v>0</v>
      </c>
      <c r="M25" s="148"/>
      <c r="N25" s="149"/>
      <c r="O25" s="198">
        <f>SUMIF(bargiri[شماره پیش فاکتور],invoice[[#This Row],[شماره پیش فاکتور]],bargiri[میزان بارگیری شده])/invoice[[#This Row],[میزان سفارش]]</f>
        <v>1.0035000000000001</v>
      </c>
    </row>
    <row r="26" spans="1:15" ht="30.6" customHeight="1" x14ac:dyDescent="0.25">
      <c r="A26" s="150" t="s">
        <v>26</v>
      </c>
      <c r="B26" s="150" t="s">
        <v>102</v>
      </c>
      <c r="C26" s="150" t="s">
        <v>147</v>
      </c>
      <c r="D26" s="151" t="s">
        <v>188</v>
      </c>
      <c r="E26" s="148">
        <v>400000</v>
      </c>
      <c r="F26" s="148">
        <v>70000</v>
      </c>
      <c r="G26" s="149" t="str">
        <f>CHOOSE(MID(invoice[[#This Row],[تاریخ]],6,2),"فروردین","اردیبهشت","خرداد","تیر","مرداد","شهریور","مهر","آبان","آذر","دی","بهمن","اسفند")</f>
        <v>فروردین</v>
      </c>
      <c r="H26" s="149">
        <f>_xlfn.NUMBERVALUE(MID(invoice[[#This Row],[تاریخ]],1,4))</f>
        <v>1403</v>
      </c>
      <c r="I26" s="149" t="s">
        <v>243</v>
      </c>
      <c r="J26" s="149" t="s">
        <v>505</v>
      </c>
      <c r="K26" s="151">
        <v>46101</v>
      </c>
      <c r="L26" s="149">
        <f>IF(invoice[[#This Row],[سال]]=year,1,0)</f>
        <v>0</v>
      </c>
      <c r="M26" s="148"/>
      <c r="N26" s="149"/>
      <c r="O26" s="198">
        <f>SUMIF(bargiri[شماره پیش فاکتور],invoice[[#This Row],[شماره پیش فاکتور]],bargiri[میزان بارگیری شده])/invoice[[#This Row],[میزان سفارش]]</f>
        <v>1</v>
      </c>
    </row>
    <row r="27" spans="1:15" ht="30.6" customHeight="1" x14ac:dyDescent="0.25">
      <c r="A27" s="150" t="s">
        <v>31</v>
      </c>
      <c r="B27" s="150" t="s">
        <v>103</v>
      </c>
      <c r="C27" s="150" t="s">
        <v>150</v>
      </c>
      <c r="D27" s="151" t="s">
        <v>200</v>
      </c>
      <c r="E27" s="148">
        <v>100000</v>
      </c>
      <c r="F27" s="148">
        <v>90000</v>
      </c>
      <c r="G27" s="149" t="str">
        <f>CHOOSE(MID(invoice[[#This Row],[تاریخ]],6,2),"فروردین","اردیبهشت","خرداد","تیر","مرداد","شهریور","مهر","آبان","آذر","دی","بهمن","اسفند")</f>
        <v>اردیبهشت</v>
      </c>
      <c r="H27" s="149">
        <f>_xlfn.NUMBERVALUE(MID(invoice[[#This Row],[تاریخ]],1,4))</f>
        <v>1403</v>
      </c>
      <c r="I27" s="149" t="s">
        <v>243</v>
      </c>
      <c r="J27" s="149" t="s">
        <v>505</v>
      </c>
      <c r="K27" s="151">
        <v>46101</v>
      </c>
      <c r="L27" s="149">
        <f>IF(invoice[[#This Row],[سال]]=year,1,0)</f>
        <v>0</v>
      </c>
      <c r="M27" s="148"/>
      <c r="N27" s="149"/>
      <c r="O27" s="198">
        <f>SUMIF(bargiri[شماره پیش فاکتور],invoice[[#This Row],[شماره پیش فاکتور]],bargiri[میزان بارگیری شده])/invoice[[#This Row],[میزان سفارش]]</f>
        <v>1</v>
      </c>
    </row>
    <row r="28" spans="1:15" ht="30.6" customHeight="1" x14ac:dyDescent="0.25">
      <c r="A28" s="150" t="s">
        <v>53</v>
      </c>
      <c r="B28" s="150" t="s">
        <v>108</v>
      </c>
      <c r="C28" s="150" t="s">
        <v>161</v>
      </c>
      <c r="D28" s="151" t="s">
        <v>208</v>
      </c>
      <c r="E28" s="148">
        <v>250000</v>
      </c>
      <c r="F28" s="148">
        <v>70000</v>
      </c>
      <c r="G28" s="149" t="str">
        <f>CHOOSE(MID(invoice[[#This Row],[تاریخ]],6,2),"فروردین","اردیبهشت","خرداد","تیر","مرداد","شهریور","مهر","آبان","آذر","دی","بهمن","اسفند")</f>
        <v>اردیبهشت</v>
      </c>
      <c r="H28" s="149">
        <f>_xlfn.NUMBERVALUE(MID(invoice[[#This Row],[تاریخ]],1,4))</f>
        <v>1403</v>
      </c>
      <c r="I28" s="149" t="s">
        <v>243</v>
      </c>
      <c r="J28" s="149" t="s">
        <v>765</v>
      </c>
      <c r="K28" s="151">
        <v>46101</v>
      </c>
      <c r="L28" s="149">
        <f>IF(invoice[[#This Row],[سال]]=year,1,0)</f>
        <v>0</v>
      </c>
      <c r="M28" s="148"/>
      <c r="N28" s="149"/>
      <c r="O28" s="198">
        <f>SUMIF(bargiri[شماره پیش فاکتور],invoice[[#This Row],[شماره پیش فاکتور]],bargiri[میزان بارگیری شده])/invoice[[#This Row],[میزان سفارش]]</f>
        <v>1</v>
      </c>
    </row>
    <row r="29" spans="1:15" ht="30.6" customHeight="1" x14ac:dyDescent="0.25">
      <c r="A29" s="150" t="s">
        <v>30</v>
      </c>
      <c r="B29" s="150" t="s">
        <v>103</v>
      </c>
      <c r="C29" s="150" t="s">
        <v>149</v>
      </c>
      <c r="D29" s="151" t="s">
        <v>199</v>
      </c>
      <c r="E29" s="148">
        <v>250000</v>
      </c>
      <c r="F29" s="148">
        <v>70000</v>
      </c>
      <c r="G29" s="149" t="str">
        <f>CHOOSE(MID(invoice[[#This Row],[تاریخ]],6,2),"فروردین","اردیبهشت","خرداد","تیر","مرداد","شهریور","مهر","آبان","آذر","دی","بهمن","اسفند")</f>
        <v>اردیبهشت</v>
      </c>
      <c r="H29" s="149">
        <f>_xlfn.NUMBERVALUE(MID(invoice[[#This Row],[تاریخ]],1,4))</f>
        <v>1403</v>
      </c>
      <c r="I29" s="149" t="s">
        <v>243</v>
      </c>
      <c r="J29" s="149" t="s">
        <v>505</v>
      </c>
      <c r="K29" s="151">
        <v>46101</v>
      </c>
      <c r="L29" s="149">
        <f>IF(invoice[[#This Row],[سال]]=year,1,0)</f>
        <v>0</v>
      </c>
      <c r="M29" s="148"/>
      <c r="N29" s="149"/>
      <c r="O29" s="198">
        <f>SUMIF(bargiri[شماره پیش فاکتور],invoice[[#This Row],[شماره پیش فاکتور]],bargiri[میزان بارگیری شده])/invoice[[#This Row],[میزان سفارش]]</f>
        <v>1</v>
      </c>
    </row>
    <row r="30" spans="1:15" ht="30.6" customHeight="1" x14ac:dyDescent="0.25">
      <c r="A30" s="150" t="s">
        <v>10</v>
      </c>
      <c r="B30" s="150" t="s">
        <v>98</v>
      </c>
      <c r="C30" s="150" t="s">
        <v>138</v>
      </c>
      <c r="D30" s="151" t="s">
        <v>187</v>
      </c>
      <c r="E30" s="148">
        <v>100000</v>
      </c>
      <c r="F30" s="148">
        <v>70000</v>
      </c>
      <c r="G30" s="149" t="str">
        <f>CHOOSE(MID(invoice[[#This Row],[تاریخ]],6,2),"فروردین","اردیبهشت","خرداد","تیر","مرداد","شهریور","مهر","آبان","آذر","دی","بهمن","اسفند")</f>
        <v>اردیبهشت</v>
      </c>
      <c r="H30" s="149">
        <f>_xlfn.NUMBERVALUE(MID(invoice[[#This Row],[تاریخ]],1,4))</f>
        <v>1403</v>
      </c>
      <c r="I30" s="149" t="s">
        <v>243</v>
      </c>
      <c r="J30" s="149" t="s">
        <v>505</v>
      </c>
      <c r="K30" s="151">
        <v>46101</v>
      </c>
      <c r="L30" s="149">
        <f>IF(invoice[[#This Row],[سال]]=year,1,0)</f>
        <v>0</v>
      </c>
      <c r="M30" s="148"/>
      <c r="N30" s="149"/>
      <c r="O30" s="198">
        <f>SUMIF(bargiri[شماره پیش فاکتور],invoice[[#This Row],[شماره پیش فاکتور]],bargiri[میزان بارگیری شده])/invoice[[#This Row],[میزان سفارش]]</f>
        <v>1</v>
      </c>
    </row>
    <row r="31" spans="1:15" ht="30.6" customHeight="1" x14ac:dyDescent="0.25">
      <c r="A31" s="150" t="s">
        <v>57</v>
      </c>
      <c r="B31" s="150" t="s">
        <v>110</v>
      </c>
      <c r="C31" s="150" t="s">
        <v>163</v>
      </c>
      <c r="D31" s="151" t="s">
        <v>210</v>
      </c>
      <c r="E31" s="148">
        <v>415775</v>
      </c>
      <c r="F31" s="148">
        <v>78000</v>
      </c>
      <c r="G31" s="149" t="str">
        <f>CHOOSE(MID(invoice[[#This Row],[تاریخ]],6,2),"فروردین","اردیبهشت","خرداد","تیر","مرداد","شهریور","مهر","آبان","آذر","دی","بهمن","اسفند")</f>
        <v>خرداد</v>
      </c>
      <c r="H31" s="149">
        <f>_xlfn.NUMBERVALUE(MID(invoice[[#This Row],[تاریخ]],1,4))</f>
        <v>1403</v>
      </c>
      <c r="I31" s="149" t="s">
        <v>243</v>
      </c>
      <c r="J31" s="149" t="s">
        <v>505</v>
      </c>
      <c r="K31" s="151">
        <v>46101</v>
      </c>
      <c r="L31" s="149">
        <f>IF(invoice[[#This Row],[سال]]=year,1,0)</f>
        <v>0</v>
      </c>
      <c r="M31" s="148"/>
      <c r="N31" s="149"/>
      <c r="O31" s="198">
        <f>SUMIF(bargiri[شماره پیش فاکتور],invoice[[#This Row],[شماره پیش فاکتور]],bargiri[میزان بارگیری شده])/invoice[[#This Row],[میزان سفارش]]</f>
        <v>1</v>
      </c>
    </row>
    <row r="32" spans="1:15" ht="30.6" customHeight="1" x14ac:dyDescent="0.25">
      <c r="A32" s="150" t="s">
        <v>25</v>
      </c>
      <c r="B32" s="150" t="s">
        <v>102</v>
      </c>
      <c r="C32" s="150" t="s">
        <v>146</v>
      </c>
      <c r="D32" s="151" t="s">
        <v>196</v>
      </c>
      <c r="E32" s="148">
        <v>200000</v>
      </c>
      <c r="F32" s="148">
        <v>65000</v>
      </c>
      <c r="G32" s="149" t="str">
        <f>CHOOSE(MID(invoice[[#This Row],[تاریخ]],6,2),"فروردین","اردیبهشت","خرداد","تیر","مرداد","شهریور","مهر","آبان","آذر","دی","بهمن","اسفند")</f>
        <v>خرداد</v>
      </c>
      <c r="H32" s="149">
        <f>_xlfn.NUMBERVALUE(MID(invoice[[#This Row],[تاریخ]],1,4))</f>
        <v>1403</v>
      </c>
      <c r="I32" s="149" t="s">
        <v>243</v>
      </c>
      <c r="J32" s="149" t="s">
        <v>505</v>
      </c>
      <c r="K32" s="151">
        <v>46101</v>
      </c>
      <c r="L32" s="149">
        <f>IF(invoice[[#This Row],[سال]]=year,1,0)</f>
        <v>0</v>
      </c>
      <c r="M32" s="148"/>
      <c r="N32" s="149"/>
      <c r="O32" s="198">
        <f>SUMIF(bargiri[شماره پیش فاکتور],invoice[[#This Row],[شماره پیش فاکتور]],bargiri[میزان بارگیری شده])/invoice[[#This Row],[میزان سفارش]]</f>
        <v>1</v>
      </c>
    </row>
    <row r="33" spans="1:15" ht="30.6" customHeight="1" x14ac:dyDescent="0.25">
      <c r="A33" s="150" t="s">
        <v>94</v>
      </c>
      <c r="B33" s="150" t="s">
        <v>124</v>
      </c>
      <c r="C33" s="150" t="s">
        <v>183</v>
      </c>
      <c r="D33" s="151" t="s">
        <v>200</v>
      </c>
      <c r="E33" s="148">
        <v>250000</v>
      </c>
      <c r="F33" s="148">
        <v>70000</v>
      </c>
      <c r="G33" s="149" t="str">
        <f>CHOOSE(MID(invoice[[#This Row],[تاریخ]],6,2),"فروردین","اردیبهشت","خرداد","تیر","مرداد","شهریور","مهر","آبان","آذر","دی","بهمن","اسفند")</f>
        <v>خرداد</v>
      </c>
      <c r="H33" s="149">
        <f>_xlfn.NUMBERVALUE(MID(invoice[[#This Row],[تاریخ]],1,4))</f>
        <v>1403</v>
      </c>
      <c r="I33" s="149" t="s">
        <v>560</v>
      </c>
      <c r="J33" s="149" t="s">
        <v>505</v>
      </c>
      <c r="K33" s="151">
        <v>46101</v>
      </c>
      <c r="L33" s="149">
        <f>IF(invoice[[#This Row],[سال]]=year,1,0)</f>
        <v>0</v>
      </c>
      <c r="M33" s="148"/>
      <c r="N33" s="149"/>
      <c r="O33" s="198">
        <f>SUMIF(bargiri[شماره پیش فاکتور],invoice[[#This Row],[شماره پیش فاکتور]],bargiri[میزان بارگیری شده])/invoice[[#This Row],[میزان سفارش]]</f>
        <v>0.99861999999999995</v>
      </c>
    </row>
    <row r="34" spans="1:15" ht="30.6" customHeight="1" x14ac:dyDescent="0.25">
      <c r="A34" s="150" t="s">
        <v>81</v>
      </c>
      <c r="B34" s="150" t="s">
        <v>117</v>
      </c>
      <c r="C34" s="150" t="s">
        <v>179</v>
      </c>
      <c r="D34" s="151" t="s">
        <v>200</v>
      </c>
      <c r="E34" s="148">
        <v>54710</v>
      </c>
      <c r="F34" s="148">
        <v>70000</v>
      </c>
      <c r="G34" s="149" t="str">
        <f>CHOOSE(MID(invoice[[#This Row],[تاریخ]],6,2),"فروردین","اردیبهشت","خرداد","تیر","مرداد","شهریور","مهر","آبان","آذر","دی","بهمن","اسفند")</f>
        <v>خرداد</v>
      </c>
      <c r="H34" s="149">
        <f>_xlfn.NUMBERVALUE(MID(invoice[[#This Row],[تاریخ]],1,4))</f>
        <v>1403</v>
      </c>
      <c r="I34" s="149" t="s">
        <v>243</v>
      </c>
      <c r="J34" s="149" t="s">
        <v>505</v>
      </c>
      <c r="K34" s="151">
        <v>46101</v>
      </c>
      <c r="L34" s="149">
        <f>IF(invoice[[#This Row],[سال]]=year,1,0)</f>
        <v>0</v>
      </c>
      <c r="M34" s="148"/>
      <c r="N34" s="149"/>
      <c r="O34" s="198">
        <f>SUMIF(bargiri[شماره پیش فاکتور],invoice[[#This Row],[شماره پیش فاکتور]],bargiri[میزان بارگیری شده])/invoice[[#This Row],[میزان سفارش]]</f>
        <v>1</v>
      </c>
    </row>
    <row r="35" spans="1:15" ht="30.6" customHeight="1" x14ac:dyDescent="0.25">
      <c r="A35" s="150" t="s">
        <v>41</v>
      </c>
      <c r="B35" s="150" t="s">
        <v>104</v>
      </c>
      <c r="C35" s="150" t="s">
        <v>156</v>
      </c>
      <c r="D35" s="151" t="s">
        <v>156</v>
      </c>
      <c r="E35" s="148">
        <v>599930</v>
      </c>
      <c r="F35" s="148">
        <v>85000</v>
      </c>
      <c r="G35" s="149" t="str">
        <f>CHOOSE(MID(invoice[[#This Row],[تاریخ]],6,2),"فروردین","اردیبهشت","خرداد","تیر","مرداد","شهریور","مهر","آبان","آذر","دی","بهمن","اسفند")</f>
        <v>تیر</v>
      </c>
      <c r="H35" s="149">
        <f>_xlfn.NUMBERVALUE(MID(invoice[[#This Row],[تاریخ]],1,4))</f>
        <v>1403</v>
      </c>
      <c r="I35" s="149" t="s">
        <v>243</v>
      </c>
      <c r="J35" s="149" t="s">
        <v>505</v>
      </c>
      <c r="K35" s="151">
        <v>46101</v>
      </c>
      <c r="L35" s="149">
        <f>IF(invoice[[#This Row],[سال]]=year,1,0)</f>
        <v>0</v>
      </c>
      <c r="M35" s="148"/>
      <c r="N35" s="149"/>
      <c r="O35" s="198">
        <f>SUMIF(bargiri[شماره پیش فاکتور],invoice[[#This Row],[شماره پیش فاکتور]],bargiri[میزان بارگیری شده])/invoice[[#This Row],[میزان سفارش]]</f>
        <v>1</v>
      </c>
    </row>
    <row r="36" spans="1:15" ht="30.6" customHeight="1" x14ac:dyDescent="0.25">
      <c r="A36" s="150" t="s">
        <v>9</v>
      </c>
      <c r="B36" s="150" t="s">
        <v>98</v>
      </c>
      <c r="C36" s="150" t="s">
        <v>137</v>
      </c>
      <c r="D36" s="151" t="s">
        <v>168</v>
      </c>
      <c r="E36" s="148">
        <v>20000</v>
      </c>
      <c r="F36" s="148">
        <v>105000</v>
      </c>
      <c r="G36" s="149" t="str">
        <f>CHOOSE(MID(invoice[[#This Row],[تاریخ]],6,2),"فروردین","اردیبهشت","خرداد","تیر","مرداد","شهریور","مهر","آبان","آذر","دی","بهمن","اسفند")</f>
        <v>تیر</v>
      </c>
      <c r="H36" s="149">
        <f>_xlfn.NUMBERVALUE(MID(invoice[[#This Row],[تاریخ]],1,4))</f>
        <v>1403</v>
      </c>
      <c r="I36" s="149" t="s">
        <v>243</v>
      </c>
      <c r="J36" s="149" t="s">
        <v>505</v>
      </c>
      <c r="K36" s="151">
        <v>46101</v>
      </c>
      <c r="L36" s="149">
        <f>IF(invoice[[#This Row],[سال]]=year,1,0)</f>
        <v>0</v>
      </c>
      <c r="M36" s="148"/>
      <c r="N36" s="149"/>
      <c r="O36" s="198">
        <f>SUMIF(bargiri[شماره پیش فاکتور],invoice[[#This Row],[شماره پیش فاکتور]],bargiri[میزان بارگیری شده])/invoice[[#This Row],[میزان سفارش]]</f>
        <v>1.1579999999999999</v>
      </c>
    </row>
    <row r="37" spans="1:15" ht="30.6" customHeight="1" x14ac:dyDescent="0.25">
      <c r="A37" s="150" t="s">
        <v>65</v>
      </c>
      <c r="B37" s="150" t="s">
        <v>115</v>
      </c>
      <c r="C37" s="150" t="s">
        <v>168</v>
      </c>
      <c r="D37" s="151" t="s">
        <v>215</v>
      </c>
      <c r="E37" s="148">
        <v>500000</v>
      </c>
      <c r="F37" s="148">
        <v>75000</v>
      </c>
      <c r="G37" s="149" t="str">
        <f>CHOOSE(MID(invoice[[#This Row],[تاریخ]],6,2),"فروردین","اردیبهشت","خرداد","تیر","مرداد","شهریور","مهر","آبان","آذر","دی","بهمن","اسفند")</f>
        <v>تیر</v>
      </c>
      <c r="H37" s="149">
        <f>_xlfn.NUMBERVALUE(MID(invoice[[#This Row],[تاریخ]],1,4))</f>
        <v>1403</v>
      </c>
      <c r="I37" s="149" t="s">
        <v>560</v>
      </c>
      <c r="J37" s="149" t="s">
        <v>505</v>
      </c>
      <c r="K37" s="151">
        <v>46101</v>
      </c>
      <c r="L37" s="149">
        <f>IF(invoice[[#This Row],[سال]]=year,1,0)</f>
        <v>0</v>
      </c>
      <c r="M37" s="148"/>
      <c r="N37" s="149"/>
      <c r="O37" s="198">
        <f>SUMIF(bargiri[شماره پیش فاکتور],invoice[[#This Row],[شماره پیش فاکتور]],bargiri[میزان بارگیری شده])/invoice[[#This Row],[میزان سفارش]]</f>
        <v>1</v>
      </c>
    </row>
    <row r="38" spans="1:15" ht="30.6" customHeight="1" x14ac:dyDescent="0.25">
      <c r="A38" s="150" t="s">
        <v>97</v>
      </c>
      <c r="B38" s="150" t="s">
        <v>126</v>
      </c>
      <c r="C38" s="150" t="s">
        <v>168</v>
      </c>
      <c r="D38" s="151" t="s">
        <v>231</v>
      </c>
      <c r="E38" s="148">
        <v>10000</v>
      </c>
      <c r="F38" s="148">
        <v>110000</v>
      </c>
      <c r="G38" s="149" t="str">
        <f>CHOOSE(MID(invoice[[#This Row],[تاریخ]],6,2),"فروردین","اردیبهشت","خرداد","تیر","مرداد","شهریور","مهر","آبان","آذر","دی","بهمن","اسفند")</f>
        <v>تیر</v>
      </c>
      <c r="H38" s="149">
        <f>_xlfn.NUMBERVALUE(MID(invoice[[#This Row],[تاریخ]],1,4))</f>
        <v>1403</v>
      </c>
      <c r="I38" s="149" t="s">
        <v>560</v>
      </c>
      <c r="J38" s="149" t="s">
        <v>505</v>
      </c>
      <c r="K38" s="151">
        <v>46101</v>
      </c>
      <c r="L38" s="149">
        <f>IF(invoice[[#This Row],[سال]]=year,1,0)</f>
        <v>0</v>
      </c>
      <c r="M38" s="148"/>
      <c r="N38" s="149"/>
      <c r="O38" s="198">
        <f>SUMIF(bargiri[شماره پیش فاکتور],invoice[[#This Row],[شماره پیش فاکتور]],bargiri[میزان بارگیری شده])/invoice[[#This Row],[میزان سفارش]]</f>
        <v>0.97199999999999998</v>
      </c>
    </row>
    <row r="39" spans="1:15" ht="30.6" customHeight="1" x14ac:dyDescent="0.25">
      <c r="A39" s="150" t="s">
        <v>8</v>
      </c>
      <c r="B39" s="150" t="s">
        <v>98</v>
      </c>
      <c r="C39" s="150" t="s">
        <v>136</v>
      </c>
      <c r="D39" s="151" t="s">
        <v>186</v>
      </c>
      <c r="E39" s="148">
        <v>100000</v>
      </c>
      <c r="F39" s="148">
        <v>72000</v>
      </c>
      <c r="G39" s="149" t="str">
        <f>CHOOSE(MID(invoice[[#This Row],[تاریخ]],6,2),"فروردین","اردیبهشت","خرداد","تیر","مرداد","شهریور","مهر","آبان","آذر","دی","بهمن","اسفند")</f>
        <v>مرداد</v>
      </c>
      <c r="H39" s="149">
        <f>_xlfn.NUMBERVALUE(MID(invoice[[#This Row],[تاریخ]],1,4))</f>
        <v>1403</v>
      </c>
      <c r="I39" s="149" t="s">
        <v>243</v>
      </c>
      <c r="J39" s="149" t="s">
        <v>505</v>
      </c>
      <c r="K39" s="151">
        <v>46101</v>
      </c>
      <c r="L39" s="149">
        <f>IF(invoice[[#This Row],[سال]]=year,1,0)</f>
        <v>0</v>
      </c>
      <c r="M39" s="148"/>
      <c r="N39" s="149"/>
      <c r="O39" s="198">
        <f>SUMIF(bargiri[شماره پیش فاکتور],invoice[[#This Row],[شماره پیش فاکتور]],bargiri[میزان بارگیری شده])/invoice[[#This Row],[میزان سفارش]]</f>
        <v>1</v>
      </c>
    </row>
    <row r="40" spans="1:15" ht="30.6" customHeight="1" x14ac:dyDescent="0.25">
      <c r="A40" s="150" t="s">
        <v>51</v>
      </c>
      <c r="B40" s="150" t="s">
        <v>107</v>
      </c>
      <c r="C40" s="150" t="s">
        <v>159</v>
      </c>
      <c r="D40" s="151" t="s">
        <v>206</v>
      </c>
      <c r="E40" s="148">
        <v>15000</v>
      </c>
      <c r="F40" s="148">
        <v>74000</v>
      </c>
      <c r="G40" s="149" t="str">
        <f>CHOOSE(MID(invoice[[#This Row],[تاریخ]],6,2),"فروردین","اردیبهشت","خرداد","تیر","مرداد","شهریور","مهر","آبان","آذر","دی","بهمن","اسفند")</f>
        <v>شهریور</v>
      </c>
      <c r="H40" s="149">
        <f>_xlfn.NUMBERVALUE(MID(invoice[[#This Row],[تاریخ]],1,4))</f>
        <v>1403</v>
      </c>
      <c r="I40" s="149" t="s">
        <v>243</v>
      </c>
      <c r="J40" s="149" t="s">
        <v>505</v>
      </c>
      <c r="K40" s="151">
        <v>46101</v>
      </c>
      <c r="L40" s="149">
        <f>IF(invoice[[#This Row],[سال]]=year,1,0)</f>
        <v>0</v>
      </c>
      <c r="M40" s="148"/>
      <c r="N40" s="149"/>
      <c r="O40" s="198">
        <f>SUMIF(bargiri[شماره پیش فاکتور],invoice[[#This Row],[شماره پیش فاکتور]],bargiri[میزان بارگیری شده])/invoice[[#This Row],[میزان سفارش]]</f>
        <v>1.0049999999999999</v>
      </c>
    </row>
    <row r="41" spans="1:15" ht="30.6" customHeight="1" x14ac:dyDescent="0.25">
      <c r="A41" s="150" t="s">
        <v>24</v>
      </c>
      <c r="B41" s="150" t="s">
        <v>102</v>
      </c>
      <c r="C41" s="150" t="s">
        <v>145</v>
      </c>
      <c r="D41" s="151" t="s">
        <v>195</v>
      </c>
      <c r="E41" s="148">
        <v>500000</v>
      </c>
      <c r="F41" s="148">
        <v>70000</v>
      </c>
      <c r="G41" s="149" t="str">
        <f>CHOOSE(MID(invoice[[#This Row],[تاریخ]],6,2),"فروردین","اردیبهشت","خرداد","تیر","مرداد","شهریور","مهر","آبان","آذر","دی","بهمن","اسفند")</f>
        <v>شهریور</v>
      </c>
      <c r="H41" s="149">
        <f>_xlfn.NUMBERVALUE(MID(invoice[[#This Row],[تاریخ]],1,4))</f>
        <v>1403</v>
      </c>
      <c r="I41" s="149" t="s">
        <v>243</v>
      </c>
      <c r="J41" s="149" t="s">
        <v>505</v>
      </c>
      <c r="K41" s="151">
        <v>46101</v>
      </c>
      <c r="L41" s="149">
        <f>IF(invoice[[#This Row],[سال]]=year,1,0)</f>
        <v>0</v>
      </c>
      <c r="M41" s="148"/>
      <c r="N41" s="149"/>
      <c r="O41" s="198">
        <f>SUMIF(bargiri[شماره پیش فاکتور],invoice[[#This Row],[شماره پیش فاکتور]],bargiri[میزان بارگیری شده])/invoice[[#This Row],[میزان سفارش]]</f>
        <v>0.69284000000000001</v>
      </c>
    </row>
    <row r="42" spans="1:15" ht="30.6" customHeight="1" x14ac:dyDescent="0.25">
      <c r="A42" s="150" t="s">
        <v>50</v>
      </c>
      <c r="B42" s="150" t="s">
        <v>107</v>
      </c>
      <c r="C42" s="150" t="s">
        <v>145</v>
      </c>
      <c r="D42" s="151" t="s">
        <v>205</v>
      </c>
      <c r="E42" s="148">
        <v>1822365</v>
      </c>
      <c r="F42" s="148">
        <v>70000</v>
      </c>
      <c r="G42" s="149" t="str">
        <f>CHOOSE(MID(invoice[[#This Row],[تاریخ]],6,2),"فروردین","اردیبهشت","خرداد","تیر","مرداد","شهریور","مهر","آبان","آذر","دی","بهمن","اسفند")</f>
        <v>شهریور</v>
      </c>
      <c r="H42" s="149">
        <f>_xlfn.NUMBERVALUE(MID(invoice[[#This Row],[تاریخ]],1,4))</f>
        <v>1403</v>
      </c>
      <c r="I42" s="149" t="s">
        <v>243</v>
      </c>
      <c r="J42" s="149" t="s">
        <v>505</v>
      </c>
      <c r="K42" s="151">
        <v>46101</v>
      </c>
      <c r="L42" s="149">
        <f>IF(invoice[[#This Row],[سال]]=year,1,0)</f>
        <v>0</v>
      </c>
      <c r="M42" s="148"/>
      <c r="N42" s="149"/>
      <c r="O42" s="198">
        <f>SUMIF(bargiri[شماره پیش فاکتور],invoice[[#This Row],[شماره پیش فاکتور]],bargiri[میزان بارگیری شده])/invoice[[#This Row],[میزان سفارش]]</f>
        <v>1</v>
      </c>
    </row>
    <row r="43" spans="1:15" ht="30.6" customHeight="1" x14ac:dyDescent="0.25">
      <c r="A43" s="150" t="s">
        <v>61</v>
      </c>
      <c r="B43" s="150" t="s">
        <v>113</v>
      </c>
      <c r="C43" s="150" t="s">
        <v>165</v>
      </c>
      <c r="D43" s="151" t="s">
        <v>213</v>
      </c>
      <c r="E43" s="148">
        <v>1000000</v>
      </c>
      <c r="F43" s="148">
        <v>75000</v>
      </c>
      <c r="G43" s="149" t="str">
        <f>CHOOSE(MID(invoice[[#This Row],[تاریخ]],6,2),"فروردین","اردیبهشت","خرداد","تیر","مرداد","شهریور","مهر","آبان","آذر","دی","بهمن","اسفند")</f>
        <v>شهریور</v>
      </c>
      <c r="H43" s="149">
        <f>_xlfn.NUMBERVALUE(MID(invoice[[#This Row],[تاریخ]],1,4))</f>
        <v>1403</v>
      </c>
      <c r="I43" s="149" t="s">
        <v>243</v>
      </c>
      <c r="J43" s="149" t="s">
        <v>505</v>
      </c>
      <c r="K43" s="151">
        <v>46101</v>
      </c>
      <c r="L43" s="149">
        <f>IF(invoice[[#This Row],[سال]]=year,1,0)</f>
        <v>0</v>
      </c>
      <c r="M43" s="148"/>
      <c r="N43" s="149"/>
      <c r="O43" s="198">
        <f>SUMIF(bargiri[شماره پیش فاکتور],invoice[[#This Row],[شماره پیش فاکتور]],bargiri[میزان بارگیری شده])/invoice[[#This Row],[میزان سفارش]]</f>
        <v>0.99931999999999999</v>
      </c>
    </row>
    <row r="44" spans="1:15" ht="30.6" customHeight="1" x14ac:dyDescent="0.25">
      <c r="A44" s="150" t="s">
        <v>87</v>
      </c>
      <c r="B44" s="150" t="s">
        <v>119</v>
      </c>
      <c r="C44" s="150" t="s">
        <v>180</v>
      </c>
      <c r="D44" s="151" t="s">
        <v>228</v>
      </c>
      <c r="E44" s="148">
        <v>50000</v>
      </c>
      <c r="F44" s="148">
        <v>75000</v>
      </c>
      <c r="G44" s="149" t="str">
        <f>CHOOSE(MID(invoice[[#This Row],[تاریخ]],6,2),"فروردین","اردیبهشت","خرداد","تیر","مرداد","شهریور","مهر","آبان","آذر","دی","بهمن","اسفند")</f>
        <v>مهر</v>
      </c>
      <c r="H44" s="149">
        <f>_xlfn.NUMBERVALUE(MID(invoice[[#This Row],[تاریخ]],1,4))</f>
        <v>1403</v>
      </c>
      <c r="I44" s="149" t="s">
        <v>242</v>
      </c>
      <c r="J44" s="149" t="s">
        <v>505</v>
      </c>
      <c r="K44" s="151">
        <v>46101</v>
      </c>
      <c r="L44" s="149">
        <f>IF(invoice[[#This Row],[سال]]=year,1,0)</f>
        <v>0</v>
      </c>
      <c r="M44" s="148"/>
      <c r="N44" s="149"/>
      <c r="O44" s="198">
        <f>SUMIF(bargiri[شماره پیش فاکتور],invoice[[#This Row],[شماره پیش فاکتور]],bargiri[میزان بارگیری شده])/invoice[[#This Row],[میزان سفارش]]</f>
        <v>1</v>
      </c>
    </row>
    <row r="45" spans="1:15" ht="30.6" customHeight="1" x14ac:dyDescent="0.25">
      <c r="A45" s="150" t="s">
        <v>19</v>
      </c>
      <c r="B45" s="150" t="s">
        <v>101</v>
      </c>
      <c r="C45" s="150" t="s">
        <v>143</v>
      </c>
      <c r="D45" s="151" t="s">
        <v>192</v>
      </c>
      <c r="E45" s="148">
        <v>500000</v>
      </c>
      <c r="F45" s="148">
        <v>75000</v>
      </c>
      <c r="G45" s="149" t="str">
        <f>CHOOSE(MID(invoice[[#This Row],[تاریخ]],6,2),"فروردین","اردیبهشت","خرداد","تیر","مرداد","شهریور","مهر","آبان","آذر","دی","بهمن","اسفند")</f>
        <v>مهر</v>
      </c>
      <c r="H45" s="149">
        <f>_xlfn.NUMBERVALUE(MID(invoice[[#This Row],[تاریخ]],1,4))</f>
        <v>1403</v>
      </c>
      <c r="I45" s="149" t="s">
        <v>243</v>
      </c>
      <c r="J45" s="149" t="s">
        <v>505</v>
      </c>
      <c r="K45" s="151">
        <v>46101</v>
      </c>
      <c r="L45" s="149">
        <f>IF(invoice[[#This Row],[سال]]=year,1,0)</f>
        <v>0</v>
      </c>
      <c r="M45" s="148"/>
      <c r="N45" s="149"/>
      <c r="O45" s="198">
        <f>SUMIF(bargiri[شماره پیش فاکتور],invoice[[#This Row],[شماره پیش فاکتور]],bargiri[میزان بارگیری شده])/invoice[[#This Row],[میزان سفارش]]</f>
        <v>0.81843999999999995</v>
      </c>
    </row>
    <row r="46" spans="1:15" ht="30.6" customHeight="1" x14ac:dyDescent="0.25">
      <c r="A46" s="150" t="s">
        <v>88</v>
      </c>
      <c r="B46" s="150" t="s">
        <v>120</v>
      </c>
      <c r="C46" s="150" t="s">
        <v>181</v>
      </c>
      <c r="D46" s="151" t="s">
        <v>229</v>
      </c>
      <c r="E46" s="148">
        <v>420000</v>
      </c>
      <c r="F46" s="148">
        <v>80000</v>
      </c>
      <c r="G46" s="149" t="str">
        <f>CHOOSE(MID(invoice[[#This Row],[تاریخ]],6,2),"فروردین","اردیبهشت","خرداد","تیر","مرداد","شهریور","مهر","آبان","آذر","دی","بهمن","اسفند")</f>
        <v>مهر</v>
      </c>
      <c r="H46" s="149">
        <f>_xlfn.NUMBERVALUE(MID(invoice[[#This Row],[تاریخ]],1,4))</f>
        <v>1403</v>
      </c>
      <c r="I46" s="149" t="s">
        <v>243</v>
      </c>
      <c r="J46" s="149" t="s">
        <v>505</v>
      </c>
      <c r="K46" s="151">
        <v>46101</v>
      </c>
      <c r="L46" s="149">
        <f>IF(invoice[[#This Row],[سال]]=year,1,0)</f>
        <v>0</v>
      </c>
      <c r="M46" s="148"/>
      <c r="N46" s="149"/>
      <c r="O46" s="198">
        <f>SUMIF(bargiri[شماره پیش فاکتور],invoice[[#This Row],[شماره پیش فاکتور]],bargiri[میزان بارگیری شده])/invoice[[#This Row],[میزان سفارش]]</f>
        <v>0.99516666666666664</v>
      </c>
    </row>
    <row r="47" spans="1:15" ht="30.6" customHeight="1" x14ac:dyDescent="0.25">
      <c r="A47" s="150" t="s">
        <v>76</v>
      </c>
      <c r="B47" s="150" t="s">
        <v>116</v>
      </c>
      <c r="C47" s="150" t="s">
        <v>176</v>
      </c>
      <c r="D47" s="151" t="s">
        <v>221</v>
      </c>
      <c r="E47" s="148">
        <v>50000</v>
      </c>
      <c r="F47" s="148">
        <v>75000</v>
      </c>
      <c r="G47" s="149" t="str">
        <f>CHOOSE(MID(invoice[[#This Row],[تاریخ]],6,2),"فروردین","اردیبهشت","خرداد","تیر","مرداد","شهریور","مهر","آبان","آذر","دی","بهمن","اسفند")</f>
        <v>مهر</v>
      </c>
      <c r="H47" s="149">
        <f>_xlfn.NUMBERVALUE(MID(invoice[[#This Row],[تاریخ]],1,4))</f>
        <v>1403</v>
      </c>
      <c r="I47" s="149" t="s">
        <v>242</v>
      </c>
      <c r="J47" s="149" t="s">
        <v>505</v>
      </c>
      <c r="K47" s="151">
        <v>46101</v>
      </c>
      <c r="L47" s="149">
        <f>IF(invoice[[#This Row],[سال]]=year,1,0)</f>
        <v>0</v>
      </c>
      <c r="M47" s="148"/>
      <c r="N47" s="149"/>
      <c r="O47" s="198">
        <f>SUMIF(bargiri[شماره پیش فاکتور],invoice[[#This Row],[شماره پیش فاکتور]],bargiri[میزان بارگیری شده])/invoice[[#This Row],[میزان سفارش]]</f>
        <v>1.0044999999999999</v>
      </c>
    </row>
    <row r="48" spans="1:15" ht="30.6" customHeight="1" x14ac:dyDescent="0.25">
      <c r="A48" s="150" t="s">
        <v>75</v>
      </c>
      <c r="B48" s="150" t="s">
        <v>116</v>
      </c>
      <c r="C48" s="150" t="s">
        <v>175</v>
      </c>
      <c r="D48" s="151" t="s">
        <v>220</v>
      </c>
      <c r="E48" s="148">
        <v>25000</v>
      </c>
      <c r="F48" s="148">
        <v>78999</v>
      </c>
      <c r="G48" s="149" t="str">
        <f>CHOOSE(MID(invoice[[#This Row],[تاریخ]],6,2),"فروردین","اردیبهشت","خرداد","تیر","مرداد","شهریور","مهر","آبان","آذر","دی","بهمن","اسفند")</f>
        <v>آبان</v>
      </c>
      <c r="H48" s="149">
        <f>_xlfn.NUMBERVALUE(MID(invoice[[#This Row],[تاریخ]],1,4))</f>
        <v>1403</v>
      </c>
      <c r="I48" s="149" t="s">
        <v>242</v>
      </c>
      <c r="J48" s="149" t="s">
        <v>505</v>
      </c>
      <c r="K48" s="151">
        <v>46101</v>
      </c>
      <c r="L48" s="149">
        <f>IF(invoice[[#This Row],[سال]]=year,1,0)</f>
        <v>0</v>
      </c>
      <c r="M48" s="148"/>
      <c r="N48" s="149"/>
      <c r="O48" s="198">
        <f>SUMIF(bargiri[شماره پیش فاکتور],invoice[[#This Row],[شماره پیش فاکتور]],bargiri[میزان بارگیری شده])/invoice[[#This Row],[میزان سفارش]]</f>
        <v>1</v>
      </c>
    </row>
    <row r="49" spans="1:15" ht="30.6" customHeight="1" x14ac:dyDescent="0.25">
      <c r="A49" s="150" t="s">
        <v>86</v>
      </c>
      <c r="B49" s="150" t="s">
        <v>119</v>
      </c>
      <c r="C49" s="150" t="s">
        <v>175</v>
      </c>
      <c r="D49" s="151" t="s">
        <v>227</v>
      </c>
      <c r="E49" s="148">
        <v>24870</v>
      </c>
      <c r="F49" s="148">
        <v>79301</v>
      </c>
      <c r="G49" s="149" t="str">
        <f>CHOOSE(MID(invoice[[#This Row],[تاریخ]],6,2),"فروردین","اردیبهشت","خرداد","تیر","مرداد","شهریور","مهر","آبان","آذر","دی","بهمن","اسفند")</f>
        <v>آبان</v>
      </c>
      <c r="H49" s="149">
        <f>_xlfn.NUMBERVALUE(MID(invoice[[#This Row],[تاریخ]],1,4))</f>
        <v>1403</v>
      </c>
      <c r="I49" s="149" t="s">
        <v>242</v>
      </c>
      <c r="J49" s="149" t="s">
        <v>505</v>
      </c>
      <c r="K49" s="151">
        <v>46101</v>
      </c>
      <c r="L49" s="149">
        <f>IF(invoice[[#This Row],[سال]]=year,1,0)</f>
        <v>0</v>
      </c>
      <c r="M49" s="148"/>
      <c r="N49" s="149"/>
      <c r="O49" s="198">
        <f>SUMIF(bargiri[شماره پیش فاکتور],invoice[[#This Row],[شماره پیش فاکتور]],bargiri[میزان بارگیری شده])/invoice[[#This Row],[میزان سفارش]]</f>
        <v>1</v>
      </c>
    </row>
    <row r="50" spans="1:15" ht="30.6" customHeight="1" x14ac:dyDescent="0.25">
      <c r="A50" s="150" t="s">
        <v>60</v>
      </c>
      <c r="B50" s="150" t="s">
        <v>112</v>
      </c>
      <c r="C50" s="150" t="s">
        <v>164</v>
      </c>
      <c r="D50" s="151" t="s">
        <v>212</v>
      </c>
      <c r="E50" s="148">
        <v>18375</v>
      </c>
      <c r="F50" s="148">
        <v>73000</v>
      </c>
      <c r="G50" s="149" t="str">
        <f>CHOOSE(MID(invoice[[#This Row],[تاریخ]],6,2),"فروردین","اردیبهشت","خرداد","تیر","مرداد","شهریور","مهر","آبان","آذر","دی","بهمن","اسفند")</f>
        <v>آبان</v>
      </c>
      <c r="H50" s="149">
        <f>_xlfn.NUMBERVALUE(MID(invoice[[#This Row],[تاریخ]],1,4))</f>
        <v>1403</v>
      </c>
      <c r="I50" s="149" t="s">
        <v>242</v>
      </c>
      <c r="J50" s="149" t="s">
        <v>505</v>
      </c>
      <c r="K50" s="151">
        <v>46101</v>
      </c>
      <c r="L50" s="149">
        <f>IF(invoice[[#This Row],[سال]]=year,1,0)</f>
        <v>0</v>
      </c>
      <c r="M50" s="148"/>
      <c r="N50" s="149"/>
      <c r="O50" s="198">
        <f>SUMIF(bargiri[شماره پیش فاکتور],invoice[[#This Row],[شماره پیش فاکتور]],bargiri[میزان بارگیری شده])/invoice[[#This Row],[میزان سفارش]]</f>
        <v>1</v>
      </c>
    </row>
    <row r="51" spans="1:15" ht="30.6" customHeight="1" x14ac:dyDescent="0.25">
      <c r="A51" s="150" t="s">
        <v>80</v>
      </c>
      <c r="B51" s="150" t="s">
        <v>117</v>
      </c>
      <c r="C51" s="150" t="s">
        <v>178</v>
      </c>
      <c r="D51" s="151" t="s">
        <v>224</v>
      </c>
      <c r="E51" s="148">
        <v>30000</v>
      </c>
      <c r="F51" s="148">
        <v>73000</v>
      </c>
      <c r="G51" s="149" t="str">
        <f>CHOOSE(MID(invoice[[#This Row],[تاریخ]],6,2),"فروردین","اردیبهشت","خرداد","تیر","مرداد","شهریور","مهر","آبان","آذر","دی","بهمن","اسفند")</f>
        <v>آبان</v>
      </c>
      <c r="H51" s="149">
        <f>_xlfn.NUMBERVALUE(MID(invoice[[#This Row],[تاریخ]],1,4))</f>
        <v>1403</v>
      </c>
      <c r="I51" s="149" t="s">
        <v>242</v>
      </c>
      <c r="J51" s="149" t="s">
        <v>505</v>
      </c>
      <c r="K51" s="151">
        <v>46101</v>
      </c>
      <c r="L51" s="149">
        <f>IF(invoice[[#This Row],[سال]]=year,1,0)</f>
        <v>0</v>
      </c>
      <c r="M51" s="148"/>
      <c r="N51" s="149"/>
      <c r="O51" s="198">
        <f>SUMIF(bargiri[شماره پیش فاکتور],invoice[[#This Row],[شماره پیش فاکتور]],bargiri[میزان بارگیری شده])/invoice[[#This Row],[میزان سفارش]]</f>
        <v>1</v>
      </c>
    </row>
    <row r="52" spans="1:15" ht="30.6" customHeight="1" x14ac:dyDescent="0.25">
      <c r="A52" s="150" t="s">
        <v>74</v>
      </c>
      <c r="B52" s="150" t="s">
        <v>116</v>
      </c>
      <c r="C52" s="150" t="s">
        <v>174</v>
      </c>
      <c r="D52" s="151" t="s">
        <v>219</v>
      </c>
      <c r="E52" s="148">
        <v>50000</v>
      </c>
      <c r="F52" s="148">
        <v>75000</v>
      </c>
      <c r="G52" s="149" t="str">
        <f>CHOOSE(MID(invoice[[#This Row],[تاریخ]],6,2),"فروردین","اردیبهشت","خرداد","تیر","مرداد","شهریور","مهر","آبان","آذر","دی","بهمن","اسفند")</f>
        <v>آذر</v>
      </c>
      <c r="H52" s="149">
        <f>_xlfn.NUMBERVALUE(MID(invoice[[#This Row],[تاریخ]],1,4))</f>
        <v>1403</v>
      </c>
      <c r="I52" s="149" t="s">
        <v>242</v>
      </c>
      <c r="J52" s="149" t="s">
        <v>505</v>
      </c>
      <c r="K52" s="151">
        <v>46101</v>
      </c>
      <c r="L52" s="149">
        <f>IF(invoice[[#This Row],[سال]]=year,1,0)</f>
        <v>0</v>
      </c>
      <c r="M52" s="148"/>
      <c r="N52" s="149"/>
      <c r="O52" s="198">
        <f>SUMIF(bargiri[شماره پیش فاکتور],invoice[[#This Row],[شماره پیش فاکتور]],bargiri[میزان بارگیری شده])/invoice[[#This Row],[میزان سفارش]]</f>
        <v>1</v>
      </c>
    </row>
    <row r="53" spans="1:15" ht="30.6" customHeight="1" x14ac:dyDescent="0.25">
      <c r="A53" s="150" t="s">
        <v>18</v>
      </c>
      <c r="B53" s="150" t="s">
        <v>101</v>
      </c>
      <c r="C53" s="150" t="s">
        <v>142</v>
      </c>
      <c r="D53" s="151" t="s">
        <v>141</v>
      </c>
      <c r="E53" s="148">
        <v>50000</v>
      </c>
      <c r="F53" s="148">
        <v>92000</v>
      </c>
      <c r="G53" s="149" t="str">
        <f>CHOOSE(MID(invoice[[#This Row],[تاریخ]],6,2),"فروردین","اردیبهشت","خرداد","تیر","مرداد","شهریور","مهر","آبان","آذر","دی","بهمن","اسفند")</f>
        <v>آذر</v>
      </c>
      <c r="H53" s="149">
        <f>_xlfn.NUMBERVALUE(MID(invoice[[#This Row],[تاریخ]],1,4))</f>
        <v>1403</v>
      </c>
      <c r="I53" s="149" t="s">
        <v>242</v>
      </c>
      <c r="J53" s="149" t="s">
        <v>505</v>
      </c>
      <c r="K53" s="151">
        <v>46101</v>
      </c>
      <c r="L53" s="149">
        <f>IF(invoice[[#This Row],[سال]]=year,1,0)</f>
        <v>0</v>
      </c>
      <c r="M53" s="148"/>
      <c r="N53" s="149"/>
      <c r="O53" s="198">
        <f>SUMIF(bargiri[شماره پیش فاکتور],invoice[[#This Row],[شماره پیش فاکتور]],bargiri[میزان بارگیری شده])/invoice[[#This Row],[میزان سفارش]]</f>
        <v>1</v>
      </c>
    </row>
    <row r="54" spans="1:15" ht="30.6" customHeight="1" x14ac:dyDescent="0.25">
      <c r="A54" s="150" t="s">
        <v>29</v>
      </c>
      <c r="B54" s="150" t="s">
        <v>103</v>
      </c>
      <c r="C54" s="150" t="s">
        <v>148</v>
      </c>
      <c r="D54" s="151" t="s">
        <v>198</v>
      </c>
      <c r="E54" s="148">
        <v>300000</v>
      </c>
      <c r="F54" s="148">
        <v>75000</v>
      </c>
      <c r="G54" s="149" t="str">
        <f>CHOOSE(MID(invoice[[#This Row],[تاریخ]],6,2),"فروردین","اردیبهشت","خرداد","تیر","مرداد","شهریور","مهر","آبان","آذر","دی","بهمن","اسفند")</f>
        <v>آذر</v>
      </c>
      <c r="H54" s="149">
        <f>_xlfn.NUMBERVALUE(MID(invoice[[#This Row],[تاریخ]],1,4))</f>
        <v>1403</v>
      </c>
      <c r="I54" s="149" t="s">
        <v>243</v>
      </c>
      <c r="J54" s="149" t="s">
        <v>505</v>
      </c>
      <c r="K54" s="151">
        <v>46101</v>
      </c>
      <c r="L54" s="149">
        <f>IF(invoice[[#This Row],[سال]]=year,1,0)</f>
        <v>0</v>
      </c>
      <c r="M54" s="148"/>
      <c r="N54" s="149"/>
      <c r="O54" s="198">
        <f>SUMIF(bargiri[شماره پیش فاکتور],invoice[[#This Row],[شماره پیش فاکتور]],bargiri[میزان بارگیری شده])/invoice[[#This Row],[میزان سفارش]]</f>
        <v>0.99992666666666663</v>
      </c>
    </row>
    <row r="55" spans="1:15" ht="30.6" customHeight="1" x14ac:dyDescent="0.25">
      <c r="A55" s="150" t="s">
        <v>91</v>
      </c>
      <c r="B55" s="150" t="s">
        <v>122</v>
      </c>
      <c r="C55" s="150" t="s">
        <v>148</v>
      </c>
      <c r="D55" s="151" t="s">
        <v>230</v>
      </c>
      <c r="E55" s="148">
        <v>400000</v>
      </c>
      <c r="F55" s="148">
        <v>75000</v>
      </c>
      <c r="G55" s="149" t="str">
        <f>CHOOSE(MID(invoice[[#This Row],[تاریخ]],6,2),"فروردین","اردیبهشت","خرداد","تیر","مرداد","شهریور","مهر","آبان","آذر","دی","بهمن","اسفند")</f>
        <v>آذر</v>
      </c>
      <c r="H55" s="149">
        <f>_xlfn.NUMBERVALUE(MID(invoice[[#This Row],[تاریخ]],1,4))</f>
        <v>1403</v>
      </c>
      <c r="I55" s="149" t="s">
        <v>243</v>
      </c>
      <c r="J55" s="149" t="s">
        <v>505</v>
      </c>
      <c r="K55" s="151">
        <v>46101</v>
      </c>
      <c r="L55" s="149">
        <f>IF(invoice[[#This Row],[سال]]=year,1,0)</f>
        <v>0</v>
      </c>
      <c r="M55" s="148"/>
      <c r="N55" s="149"/>
      <c r="O55" s="198">
        <f>SUMIF(bargiri[شماره پیش فاکتور],invoice[[#This Row],[شماره پیش فاکتور]],bargiri[میزان بارگیری شده])/invoice[[#This Row],[میزان سفارش]]</f>
        <v>1</v>
      </c>
    </row>
    <row r="56" spans="1:15" ht="30.6" customHeight="1" x14ac:dyDescent="0.25">
      <c r="A56" s="150" t="s">
        <v>17</v>
      </c>
      <c r="B56" s="150" t="s">
        <v>101</v>
      </c>
      <c r="C56" s="150" t="s">
        <v>141</v>
      </c>
      <c r="D56" s="151" t="s">
        <v>191</v>
      </c>
      <c r="E56" s="148">
        <v>85900</v>
      </c>
      <c r="F56" s="148">
        <v>65000</v>
      </c>
      <c r="G56" s="149" t="str">
        <f>CHOOSE(MID(invoice[[#This Row],[تاریخ]],6,2),"فروردین","اردیبهشت","خرداد","تیر","مرداد","شهریور","مهر","آبان","آذر","دی","بهمن","اسفند")</f>
        <v>آذر</v>
      </c>
      <c r="H56" s="149">
        <f>_xlfn.NUMBERVALUE(MID(invoice[[#This Row],[تاریخ]],1,4))</f>
        <v>1403</v>
      </c>
      <c r="I56" s="149" t="s">
        <v>240</v>
      </c>
      <c r="J56" s="149" t="s">
        <v>505</v>
      </c>
      <c r="K56" s="151">
        <v>46101</v>
      </c>
      <c r="L56" s="149">
        <f>IF(invoice[[#This Row],[سال]]=year,1,0)</f>
        <v>0</v>
      </c>
      <c r="M56" s="148"/>
      <c r="N56" s="149"/>
      <c r="O56" s="198">
        <f>SUMIF(bargiri[شماره پیش فاکتور],invoice[[#This Row],[شماره پیش فاکتور]],bargiri[میزان بارگیری شده])/invoice[[#This Row],[میزان سفارش]]</f>
        <v>1</v>
      </c>
    </row>
    <row r="57" spans="1:15" ht="30.6" customHeight="1" x14ac:dyDescent="0.25">
      <c r="A57" s="150" t="s">
        <v>93</v>
      </c>
      <c r="B57" s="150" t="s">
        <v>123</v>
      </c>
      <c r="C57" s="150" t="s">
        <v>182</v>
      </c>
      <c r="D57" s="151" t="s">
        <v>220</v>
      </c>
      <c r="E57" s="148">
        <v>68110</v>
      </c>
      <c r="F57" s="148">
        <v>75000</v>
      </c>
      <c r="G57" s="149" t="str">
        <f>CHOOSE(MID(invoice[[#This Row],[تاریخ]],6,2),"فروردین","اردیبهشت","خرداد","تیر","مرداد","شهریور","مهر","آبان","آذر","دی","بهمن","اسفند")</f>
        <v>دی</v>
      </c>
      <c r="H57" s="149">
        <f>_xlfn.NUMBERVALUE(MID(invoice[[#This Row],[تاریخ]],1,4))</f>
        <v>1403</v>
      </c>
      <c r="I57" s="149" t="s">
        <v>243</v>
      </c>
      <c r="J57" s="149" t="s">
        <v>505</v>
      </c>
      <c r="K57" s="151">
        <v>46101</v>
      </c>
      <c r="L57" s="149">
        <f>IF(invoice[[#This Row],[سال]]=year,1,0)</f>
        <v>0</v>
      </c>
      <c r="M57" s="148"/>
      <c r="N57" s="149"/>
      <c r="O57" s="198">
        <f>SUMIF(bargiri[شماره پیش فاکتور],invoice[[#This Row],[شماره پیش فاکتور]],bargiri[میزان بارگیری شده])/invoice[[#This Row],[میزان سفارش]]</f>
        <v>1</v>
      </c>
    </row>
    <row r="58" spans="1:15" ht="30.6" customHeight="1" x14ac:dyDescent="0.25">
      <c r="A58" s="150" t="s">
        <v>40</v>
      </c>
      <c r="B58" s="150" t="s">
        <v>104</v>
      </c>
      <c r="C58" s="150" t="s">
        <v>155</v>
      </c>
      <c r="D58" s="151" t="s">
        <v>133</v>
      </c>
      <c r="E58" s="148">
        <v>50000</v>
      </c>
      <c r="F58" s="148">
        <v>92180</v>
      </c>
      <c r="G58" s="149" t="str">
        <f>CHOOSE(MID(invoice[[#This Row],[تاریخ]],6,2),"فروردین","اردیبهشت","خرداد","تیر","مرداد","شهریور","مهر","آبان","آذر","دی","بهمن","اسفند")</f>
        <v>دی</v>
      </c>
      <c r="H58" s="149">
        <f>_xlfn.NUMBERVALUE(MID(invoice[[#This Row],[تاریخ]],1,4))</f>
        <v>1403</v>
      </c>
      <c r="I58" s="149" t="s">
        <v>242</v>
      </c>
      <c r="J58" s="149" t="s">
        <v>505</v>
      </c>
      <c r="K58" s="151">
        <v>46101</v>
      </c>
      <c r="L58" s="149">
        <f>IF(invoice[[#This Row],[سال]]=year,1,0)</f>
        <v>0</v>
      </c>
      <c r="M58" s="148"/>
      <c r="N58" s="149"/>
      <c r="O58" s="198">
        <f>SUMIF(bargiri[شماره پیش فاکتور],invoice[[#This Row],[شماره پیش فاکتور]],bargiri[میزان بارگیری شده])/invoice[[#This Row],[میزان سفارش]]</f>
        <v>1</v>
      </c>
    </row>
    <row r="59" spans="1:15" ht="30.6" customHeight="1" x14ac:dyDescent="0.25">
      <c r="A59" s="150" t="s">
        <v>52</v>
      </c>
      <c r="B59" s="150" t="s">
        <v>108</v>
      </c>
      <c r="C59" s="150" t="s">
        <v>160</v>
      </c>
      <c r="D59" s="151" t="s">
        <v>207</v>
      </c>
      <c r="E59" s="148">
        <v>40000</v>
      </c>
      <c r="F59" s="148">
        <v>90000</v>
      </c>
      <c r="G59" s="149" t="str">
        <f>CHOOSE(MID(invoice[[#This Row],[تاریخ]],6,2),"فروردین","اردیبهشت","خرداد","تیر","مرداد","شهریور","مهر","آبان","آذر","دی","بهمن","اسفند")</f>
        <v>دی</v>
      </c>
      <c r="H59" s="149">
        <f>_xlfn.NUMBERVALUE(MID(invoice[[#This Row],[تاریخ]],1,4))</f>
        <v>1403</v>
      </c>
      <c r="I59" s="149" t="s">
        <v>243</v>
      </c>
      <c r="J59" s="149" t="s">
        <v>765</v>
      </c>
      <c r="K59" s="151">
        <v>46101</v>
      </c>
      <c r="L59" s="149">
        <f>IF(invoice[[#This Row],[سال]]=year,1,0)</f>
        <v>0</v>
      </c>
      <c r="M59" s="148"/>
      <c r="N59" s="149"/>
      <c r="O59" s="198">
        <f>SUMIF(bargiri[شماره پیش فاکتور],invoice[[#This Row],[شماره پیش فاکتور]],bargiri[میزان بارگیری شده])/invoice[[#This Row],[میزان سفارش]]</f>
        <v>0.99787499999999996</v>
      </c>
    </row>
    <row r="60" spans="1:15" ht="30.6" customHeight="1" x14ac:dyDescent="0.25">
      <c r="A60" s="150" t="s">
        <v>63</v>
      </c>
      <c r="B60" s="150" t="s">
        <v>114</v>
      </c>
      <c r="C60" s="150" t="s">
        <v>160</v>
      </c>
      <c r="D60" s="151" t="s">
        <v>214</v>
      </c>
      <c r="E60" s="148">
        <v>300000</v>
      </c>
      <c r="F60" s="148">
        <v>75000</v>
      </c>
      <c r="G60" s="149" t="str">
        <f>CHOOSE(MID(invoice[[#This Row],[تاریخ]],6,2),"فروردین","اردیبهشت","خرداد","تیر","مرداد","شهریور","مهر","آبان","آذر","دی","بهمن","اسفند")</f>
        <v>دی</v>
      </c>
      <c r="H60" s="149">
        <f>_xlfn.NUMBERVALUE(MID(invoice[[#This Row],[تاریخ]],1,4))</f>
        <v>1403</v>
      </c>
      <c r="I60" s="149" t="s">
        <v>243</v>
      </c>
      <c r="J60" s="149" t="s">
        <v>505</v>
      </c>
      <c r="K60" s="151">
        <v>46101</v>
      </c>
      <c r="L60" s="149">
        <f>IF(invoice[[#This Row],[سال]]=year,1,0)</f>
        <v>0</v>
      </c>
      <c r="M60" s="148"/>
      <c r="N60" s="149"/>
      <c r="O60" s="198">
        <f>SUMIF(bargiri[شماره پیش فاکتور],invoice[[#This Row],[شماره پیش فاکتور]],bargiri[میزان بارگیری شده])/invoice[[#This Row],[میزان سفارش]]</f>
        <v>1</v>
      </c>
    </row>
    <row r="61" spans="1:15" ht="30.6" customHeight="1" x14ac:dyDescent="0.25">
      <c r="A61" s="150" t="s">
        <v>79</v>
      </c>
      <c r="B61" s="150" t="s">
        <v>117</v>
      </c>
      <c r="C61" s="150" t="s">
        <v>177</v>
      </c>
      <c r="D61" s="151" t="s">
        <v>223</v>
      </c>
      <c r="E61" s="148">
        <v>320000</v>
      </c>
      <c r="F61" s="148">
        <v>75000</v>
      </c>
      <c r="G61" s="149" t="str">
        <f>CHOOSE(MID(invoice[[#This Row],[تاریخ]],6,2),"فروردین","اردیبهشت","خرداد","تیر","مرداد","شهریور","مهر","آبان","آذر","دی","بهمن","اسفند")</f>
        <v>دی</v>
      </c>
      <c r="H61" s="149">
        <f>_xlfn.NUMBERVALUE(MID(invoice[[#This Row],[تاریخ]],1,4))</f>
        <v>1403</v>
      </c>
      <c r="I61" s="149" t="s">
        <v>243</v>
      </c>
      <c r="J61" s="149" t="s">
        <v>505</v>
      </c>
      <c r="K61" s="151">
        <v>46101</v>
      </c>
      <c r="L61" s="149">
        <f>IF(invoice[[#This Row],[سال]]=year,1,0)</f>
        <v>0</v>
      </c>
      <c r="M61" s="148"/>
      <c r="N61" s="149"/>
      <c r="O61" s="198">
        <f>SUMIF(bargiri[شماره پیش فاکتور],invoice[[#This Row],[شماره پیش فاکتور]],bargiri[میزان بارگیری شده])/invoice[[#This Row],[میزان سفارش]]</f>
        <v>1</v>
      </c>
    </row>
    <row r="62" spans="1:15" ht="30.6" customHeight="1" x14ac:dyDescent="0.25">
      <c r="A62" s="150" t="s">
        <v>7</v>
      </c>
      <c r="B62" s="150" t="s">
        <v>98</v>
      </c>
      <c r="C62" s="150" t="s">
        <v>135</v>
      </c>
      <c r="D62" s="151" t="s">
        <v>144</v>
      </c>
      <c r="E62" s="148">
        <v>50000</v>
      </c>
      <c r="F62" s="148">
        <v>92180</v>
      </c>
      <c r="G62" s="149" t="str">
        <f>CHOOSE(MID(invoice[[#This Row],[تاریخ]],6,2),"فروردین","اردیبهشت","خرداد","تیر","مرداد","شهریور","مهر","آبان","آذر","دی","بهمن","اسفند")</f>
        <v>دی</v>
      </c>
      <c r="H62" s="149">
        <f>_xlfn.NUMBERVALUE(MID(invoice[[#This Row],[تاریخ]],1,4))</f>
        <v>1403</v>
      </c>
      <c r="I62" s="149" t="s">
        <v>242</v>
      </c>
      <c r="J62" s="149" t="s">
        <v>505</v>
      </c>
      <c r="K62" s="151">
        <v>46101</v>
      </c>
      <c r="L62" s="149">
        <f>IF(invoice[[#This Row],[سال]]=year,1,0)</f>
        <v>0</v>
      </c>
      <c r="M62" s="148"/>
      <c r="N62" s="149"/>
      <c r="O62" s="198">
        <f>SUMIF(bargiri[شماره پیش فاکتور],invoice[[#This Row],[شماره پیش فاکتور]],bargiri[میزان بارگیری شده])/invoice[[#This Row],[میزان سفارش]]</f>
        <v>1</v>
      </c>
    </row>
    <row r="63" spans="1:15" ht="30.6" customHeight="1" x14ac:dyDescent="0.25">
      <c r="A63" s="150" t="s">
        <v>64</v>
      </c>
      <c r="B63" s="150" t="s">
        <v>115</v>
      </c>
      <c r="C63" s="150" t="s">
        <v>167</v>
      </c>
      <c r="D63" s="151" t="s">
        <v>167</v>
      </c>
      <c r="E63" s="148">
        <v>18725</v>
      </c>
      <c r="F63" s="148">
        <v>75000</v>
      </c>
      <c r="G63" s="149" t="str">
        <f>CHOOSE(MID(invoice[[#This Row],[تاریخ]],6,2),"فروردین","اردیبهشت","خرداد","تیر","مرداد","شهریور","مهر","آبان","آذر","دی","بهمن","اسفند")</f>
        <v>دی</v>
      </c>
      <c r="H63" s="149">
        <f>_xlfn.NUMBERVALUE(MID(invoice[[#This Row],[تاریخ]],1,4))</f>
        <v>1403</v>
      </c>
      <c r="I63" s="149" t="s">
        <v>560</v>
      </c>
      <c r="J63" s="149" t="s">
        <v>505</v>
      </c>
      <c r="K63" s="151">
        <v>46101</v>
      </c>
      <c r="L63" s="149">
        <f>IF(invoice[[#This Row],[سال]]=year,1,0)</f>
        <v>0</v>
      </c>
      <c r="M63" s="148"/>
      <c r="N63" s="149"/>
      <c r="O63" s="198">
        <f>SUMIF(bargiri[شماره پیش فاکتور],invoice[[#This Row],[شماره پیش فاکتور]],bargiri[میزان بارگیری شده])/invoice[[#This Row],[میزان سفارش]]</f>
        <v>1</v>
      </c>
    </row>
    <row r="64" spans="1:15" ht="30.6" customHeight="1" x14ac:dyDescent="0.25">
      <c r="A64" s="150" t="s">
        <v>39</v>
      </c>
      <c r="B64" s="150" t="s">
        <v>104</v>
      </c>
      <c r="C64" s="150" t="s">
        <v>154</v>
      </c>
      <c r="D64" s="151" t="s">
        <v>201</v>
      </c>
      <c r="E64" s="148">
        <v>85900</v>
      </c>
      <c r="F64" s="148">
        <v>65000</v>
      </c>
      <c r="G64" s="149" t="str">
        <f>CHOOSE(MID(invoice[[#This Row],[تاریخ]],6,2),"فروردین","اردیبهشت","خرداد","تیر","مرداد","شهریور","مهر","آبان","آذر","دی","بهمن","اسفند")</f>
        <v>دی</v>
      </c>
      <c r="H64" s="149">
        <f>_xlfn.NUMBERVALUE(MID(invoice[[#This Row],[تاریخ]],1,4))</f>
        <v>1403</v>
      </c>
      <c r="I64" s="149" t="s">
        <v>240</v>
      </c>
      <c r="J64" s="149" t="s">
        <v>505</v>
      </c>
      <c r="K64" s="151">
        <v>46101</v>
      </c>
      <c r="L64" s="149">
        <f>IF(invoice[[#This Row],[سال]]=year,1,0)</f>
        <v>0</v>
      </c>
      <c r="M64" s="148"/>
      <c r="N64" s="149"/>
      <c r="O64" s="198">
        <f>SUMIF(bargiri[شماره پیش فاکتور],invoice[[#This Row],[شماره پیش فاکتور]],bargiri[میزان بارگیری شده])/invoice[[#This Row],[میزان سفارش]]</f>
        <v>1</v>
      </c>
    </row>
    <row r="65" spans="1:15" ht="30.6" customHeight="1" x14ac:dyDescent="0.25">
      <c r="A65" s="150" t="s">
        <v>45</v>
      </c>
      <c r="B65" s="150" t="s">
        <v>106</v>
      </c>
      <c r="C65" s="150" t="s">
        <v>154</v>
      </c>
      <c r="D65" s="151" t="s">
        <v>203</v>
      </c>
      <c r="E65" s="148">
        <v>300000</v>
      </c>
      <c r="F65" s="148">
        <v>80000</v>
      </c>
      <c r="G65" s="149" t="str">
        <f>CHOOSE(MID(invoice[[#This Row],[تاریخ]],6,2),"فروردین","اردیبهشت","خرداد","تیر","مرداد","شهریور","مهر","آبان","آذر","دی","بهمن","اسفند")</f>
        <v>دی</v>
      </c>
      <c r="H65" s="149">
        <f>_xlfn.NUMBERVALUE(MID(invoice[[#This Row],[تاریخ]],1,4))</f>
        <v>1403</v>
      </c>
      <c r="I65" s="149" t="s">
        <v>243</v>
      </c>
      <c r="J65" s="149" t="s">
        <v>505</v>
      </c>
      <c r="K65" s="151">
        <v>46101</v>
      </c>
      <c r="L65" s="149">
        <f>IF(invoice[[#This Row],[سال]]=year,1,0)</f>
        <v>0</v>
      </c>
      <c r="M65" s="148"/>
      <c r="N65" s="149"/>
      <c r="O65" s="198">
        <f>SUMIF(bargiri[شماره پیش فاکتور],invoice[[#This Row],[شماره پیش فاکتور]],bargiri[میزان بارگیری شده])/invoice[[#This Row],[میزان سفارش]]</f>
        <v>1</v>
      </c>
    </row>
    <row r="66" spans="1:15" ht="30.6" customHeight="1" x14ac:dyDescent="0.25">
      <c r="A66" s="150" t="s">
        <v>73</v>
      </c>
      <c r="B66" s="150" t="s">
        <v>116</v>
      </c>
      <c r="C66" s="150" t="s">
        <v>173</v>
      </c>
      <c r="D66" s="151" t="s">
        <v>218</v>
      </c>
      <c r="E66" s="148">
        <v>50000</v>
      </c>
      <c r="F66" s="148">
        <v>92180</v>
      </c>
      <c r="G66" s="149" t="str">
        <f>CHOOSE(MID(invoice[[#This Row],[تاریخ]],6,2),"فروردین","اردیبهشت","خرداد","تیر","مرداد","شهریور","مهر","آبان","آذر","دی","بهمن","اسفند")</f>
        <v>بهمن</v>
      </c>
      <c r="H66" s="149">
        <f>_xlfn.NUMBERVALUE(MID(invoice[[#This Row],[تاریخ]],1,4))</f>
        <v>1403</v>
      </c>
      <c r="I66" s="149" t="s">
        <v>242</v>
      </c>
      <c r="J66" s="149" t="s">
        <v>505</v>
      </c>
      <c r="K66" s="151">
        <v>46101</v>
      </c>
      <c r="L66" s="149">
        <f>IF(invoice[[#This Row],[سال]]=year,1,0)</f>
        <v>0</v>
      </c>
      <c r="M66" s="148"/>
      <c r="N66" s="149"/>
      <c r="O66" s="198">
        <f>SUMIF(bargiri[شماره پیش فاکتور],invoice[[#This Row],[شماره پیش فاکتور]],bargiri[میزان بارگیری شده])/invoice[[#This Row],[میزان سفارش]]</f>
        <v>1</v>
      </c>
    </row>
    <row r="67" spans="1:15" ht="30.6" customHeight="1" x14ac:dyDescent="0.25">
      <c r="A67" s="150" t="s">
        <v>44</v>
      </c>
      <c r="B67" s="150" t="s">
        <v>106</v>
      </c>
      <c r="C67" s="150" t="s">
        <v>157</v>
      </c>
      <c r="D67" s="151" t="s">
        <v>157</v>
      </c>
      <c r="E67" s="148">
        <v>1000000</v>
      </c>
      <c r="F67" s="148">
        <v>80000</v>
      </c>
      <c r="G67" s="149" t="str">
        <f>CHOOSE(MID(invoice[[#This Row],[تاریخ]],6,2),"فروردین","اردیبهشت","خرداد","تیر","مرداد","شهریور","مهر","آبان","آذر","دی","بهمن","اسفند")</f>
        <v>بهمن</v>
      </c>
      <c r="H67" s="149">
        <f>_xlfn.NUMBERVALUE(MID(invoice[[#This Row],[تاریخ]],1,4))</f>
        <v>1403</v>
      </c>
      <c r="I67" s="149" t="s">
        <v>243</v>
      </c>
      <c r="J67" s="149" t="s">
        <v>505</v>
      </c>
      <c r="K67" s="151">
        <v>46101</v>
      </c>
      <c r="L67" s="149">
        <f>IF(invoice[[#This Row],[سال]]=year,1,0)</f>
        <v>0</v>
      </c>
      <c r="M67" s="148"/>
      <c r="N67" s="149"/>
      <c r="O67" s="198">
        <f>SUMIF(bargiri[شماره پیش فاکتور],invoice[[#This Row],[شماره پیش فاکتور]],bargiri[میزان بارگیری شده])/invoice[[#This Row],[میزان سفارش]]</f>
        <v>0.25816499999999998</v>
      </c>
    </row>
    <row r="68" spans="1:15" ht="30.6" customHeight="1" x14ac:dyDescent="0.25">
      <c r="A68" s="150" t="s">
        <v>72</v>
      </c>
      <c r="B68" s="150" t="s">
        <v>116</v>
      </c>
      <c r="C68" s="150" t="s">
        <v>172</v>
      </c>
      <c r="D68" s="151" t="s">
        <v>217</v>
      </c>
      <c r="E68" s="148">
        <v>85900</v>
      </c>
      <c r="F68" s="148">
        <v>65000</v>
      </c>
      <c r="G68" s="149" t="str">
        <f>CHOOSE(MID(invoice[[#This Row],[تاریخ]],6,2),"فروردین","اردیبهشت","خرداد","تیر","مرداد","شهریور","مهر","آبان","آذر","دی","بهمن","اسفند")</f>
        <v>بهمن</v>
      </c>
      <c r="H68" s="149">
        <f>_xlfn.NUMBERVALUE(MID(invoice[[#This Row],[تاریخ]],1,4))</f>
        <v>1403</v>
      </c>
      <c r="I68" s="149" t="s">
        <v>240</v>
      </c>
      <c r="J68" s="149" t="s">
        <v>505</v>
      </c>
      <c r="K68" s="151">
        <v>46101</v>
      </c>
      <c r="L68" s="149">
        <f>IF(invoice[[#This Row],[سال]]=year,1,0)</f>
        <v>0</v>
      </c>
      <c r="M68" s="148"/>
      <c r="N68" s="149"/>
      <c r="O68" s="198">
        <f>SUMIF(bargiri[شماره پیش فاکتور],invoice[[#This Row],[شماره پیش فاکتور]],bargiri[میزان بارگیری شده])/invoice[[#This Row],[میزان سفارش]]</f>
        <v>1</v>
      </c>
    </row>
    <row r="69" spans="1:15" ht="30.6" customHeight="1" x14ac:dyDescent="0.25">
      <c r="A69" s="150" t="s">
        <v>62</v>
      </c>
      <c r="B69" s="150" t="s">
        <v>114</v>
      </c>
      <c r="C69" s="150" t="s">
        <v>166</v>
      </c>
      <c r="D69" s="151" t="s">
        <v>166</v>
      </c>
      <c r="E69" s="148">
        <v>500000</v>
      </c>
      <c r="F69" s="148">
        <v>75000</v>
      </c>
      <c r="G69" s="149" t="str">
        <f>CHOOSE(MID(invoice[[#This Row],[تاریخ]],6,2),"فروردین","اردیبهشت","خرداد","تیر","مرداد","شهریور","مهر","آبان","آذر","دی","بهمن","اسفند")</f>
        <v>بهمن</v>
      </c>
      <c r="H69" s="149">
        <f>_xlfn.NUMBERVALUE(MID(invoice[[#This Row],[تاریخ]],1,4))</f>
        <v>1403</v>
      </c>
      <c r="I69" s="149" t="s">
        <v>243</v>
      </c>
      <c r="J69" s="149" t="s">
        <v>505</v>
      </c>
      <c r="K69" s="151">
        <v>46101</v>
      </c>
      <c r="L69" s="149">
        <f>IF(invoice[[#This Row],[سال]]=year,1,0)</f>
        <v>0</v>
      </c>
      <c r="M69" s="148"/>
      <c r="N69" s="149"/>
      <c r="O69" s="198">
        <f>SUMIF(bargiri[شماره پیش فاکتور],invoice[[#This Row],[شماره پیش فاکتور]],bargiri[میزان بارگیری شده])/invoice[[#This Row],[میزان سفارش]]</f>
        <v>0.51470000000000005</v>
      </c>
    </row>
    <row r="70" spans="1:15" ht="30.6" customHeight="1" x14ac:dyDescent="0.25">
      <c r="A70" s="150" t="s">
        <v>38</v>
      </c>
      <c r="B70" s="150" t="s">
        <v>104</v>
      </c>
      <c r="C70" s="150" t="s">
        <v>153</v>
      </c>
      <c r="D70" s="151" t="s">
        <v>153</v>
      </c>
      <c r="E70" s="148">
        <v>50000</v>
      </c>
      <c r="F70" s="148">
        <v>83800</v>
      </c>
      <c r="G70" s="149" t="str">
        <f>CHOOSE(MID(invoice[[#This Row],[تاریخ]],6,2),"فروردین","اردیبهشت","خرداد","تیر","مرداد","شهریور","مهر","آبان","آذر","دی","بهمن","اسفند")</f>
        <v>بهمن</v>
      </c>
      <c r="H70" s="149">
        <f>_xlfn.NUMBERVALUE(MID(invoice[[#This Row],[تاریخ]],1,4))</f>
        <v>1403</v>
      </c>
      <c r="I70" s="149" t="s">
        <v>242</v>
      </c>
      <c r="J70" s="149" t="s">
        <v>505</v>
      </c>
      <c r="K70" s="151">
        <v>46101</v>
      </c>
      <c r="L70" s="149">
        <f>IF(invoice[[#This Row],[سال]]=year,1,0)</f>
        <v>0</v>
      </c>
      <c r="M70" s="148"/>
      <c r="N70" s="149"/>
      <c r="O70" s="198">
        <f>SUMIF(bargiri[شماره پیش فاکتور],invoice[[#This Row],[شماره پیش فاکتور]],bargiri[میزان بارگیری شده])/invoice[[#This Row],[میزان سفارش]]</f>
        <v>1</v>
      </c>
    </row>
    <row r="71" spans="1:15" ht="30.6" customHeight="1" x14ac:dyDescent="0.25">
      <c r="A71" s="150" t="s">
        <v>12</v>
      </c>
      <c r="B71" s="150" t="s">
        <v>99</v>
      </c>
      <c r="C71" s="150" t="s">
        <v>140</v>
      </c>
      <c r="D71" s="151" t="s">
        <v>140</v>
      </c>
      <c r="E71" s="148">
        <v>1000000</v>
      </c>
      <c r="F71" s="148">
        <v>86500</v>
      </c>
      <c r="G71" s="149" t="str">
        <f>CHOOSE(MID(invoice[[#This Row],[تاریخ]],6,2),"فروردین","اردیبهشت","خرداد","تیر","مرداد","شهریور","مهر","آبان","آذر","دی","بهمن","اسفند")</f>
        <v>بهمن</v>
      </c>
      <c r="H71" s="149">
        <f>_xlfn.NUMBERVALUE(MID(invoice[[#This Row],[تاریخ]],1,4))</f>
        <v>1403</v>
      </c>
      <c r="I71" s="149" t="s">
        <v>243</v>
      </c>
      <c r="J71" s="149" t="s">
        <v>505</v>
      </c>
      <c r="K71" s="151">
        <v>46101</v>
      </c>
      <c r="L71" s="149">
        <f>IF(invoice[[#This Row],[سال]]=year,1,0)</f>
        <v>0</v>
      </c>
      <c r="M71" s="148"/>
      <c r="N71" s="149"/>
      <c r="O71" s="198">
        <f>SUMIF(bargiri[شماره پیش فاکتور],invoice[[#This Row],[شماره پیش فاکتور]],bargiri[میزان بارگیری شده])/invoice[[#This Row],[میزان سفارش]]</f>
        <v>0.44458500000000001</v>
      </c>
    </row>
    <row r="72" spans="1:15" ht="30.6" customHeight="1" x14ac:dyDescent="0.25">
      <c r="A72" s="150" t="s">
        <v>71</v>
      </c>
      <c r="B72" s="150" t="s">
        <v>116</v>
      </c>
      <c r="C72" s="150" t="s">
        <v>171</v>
      </c>
      <c r="D72" s="151" t="s">
        <v>171</v>
      </c>
      <c r="E72" s="148">
        <v>50000</v>
      </c>
      <c r="F72" s="148">
        <v>83800</v>
      </c>
      <c r="G72" s="149" t="str">
        <f>CHOOSE(MID(invoice[[#This Row],[تاریخ]],6,2),"فروردین","اردیبهشت","خرداد","تیر","مرداد","شهریور","مهر","آبان","آذر","دی","بهمن","اسفند")</f>
        <v>اسفند</v>
      </c>
      <c r="H72" s="149">
        <f>_xlfn.NUMBERVALUE(MID(invoice[[#This Row],[تاریخ]],1,4))</f>
        <v>1403</v>
      </c>
      <c r="I72" s="149" t="s">
        <v>242</v>
      </c>
      <c r="J72" s="149" t="s">
        <v>505</v>
      </c>
      <c r="K72" s="151">
        <v>46101</v>
      </c>
      <c r="L72" s="149">
        <f>IF(invoice[[#This Row],[سال]]=year,1,0)</f>
        <v>0</v>
      </c>
      <c r="M72" s="148"/>
      <c r="N72" s="149"/>
      <c r="O72" s="198">
        <f>SUMIF(bargiri[شماره پیش فاکتور],invoice[[#This Row],[شماره پیش فاکتور]],bargiri[میزان بارگیری شده])/invoice[[#This Row],[میزان سفارش]]</f>
        <v>1</v>
      </c>
    </row>
    <row r="73" spans="1:15" ht="30.6" customHeight="1" x14ac:dyDescent="0.25">
      <c r="A73" s="150" t="s">
        <v>561</v>
      </c>
      <c r="B73" s="150" t="s">
        <v>100</v>
      </c>
      <c r="C73" s="150" t="s">
        <v>554</v>
      </c>
      <c r="D73" s="150" t="s">
        <v>556</v>
      </c>
      <c r="E73" s="148">
        <v>280025</v>
      </c>
      <c r="F73" s="148">
        <v>142000</v>
      </c>
      <c r="G73" s="149" t="str">
        <f>CHOOSE(MID(invoice[[#This Row],[تاریخ]],6,2),"فروردین","اردیبهشت","خرداد","تیر","مرداد","شهریور","مهر","آبان","آذر","دی","بهمن","اسفند")</f>
        <v>اردیبهشت</v>
      </c>
      <c r="H73" s="149">
        <f>_xlfn.NUMBERVALUE(MID(invoice[[#This Row],[تاریخ]],1,4))</f>
        <v>1404</v>
      </c>
      <c r="I73" s="149" t="s">
        <v>241</v>
      </c>
      <c r="J73" s="149" t="s">
        <v>505</v>
      </c>
      <c r="K73" s="151">
        <v>46132</v>
      </c>
      <c r="L73" s="149">
        <f>IF(invoice[[#This Row],[سال]]=year,1,0)</f>
        <v>1</v>
      </c>
      <c r="M73" s="148"/>
      <c r="N73" s="149"/>
      <c r="O73" s="198">
        <f>SUMIF(bargiri[شماره پیش فاکتور],invoice[[#This Row],[شماره پیش فاکتور]],bargiri[میزان بارگیری شده])/invoice[[#This Row],[میزان سفارش]]</f>
        <v>0.13107758235871797</v>
      </c>
    </row>
    <row r="74" spans="1:15" ht="30.6" customHeight="1" x14ac:dyDescent="0.25">
      <c r="A74" s="150" t="s">
        <v>15</v>
      </c>
      <c r="B74" s="150" t="s">
        <v>100</v>
      </c>
      <c r="C74" s="150" t="s">
        <v>133</v>
      </c>
      <c r="D74" s="151" t="s">
        <v>185</v>
      </c>
      <c r="E74" s="148">
        <v>19975</v>
      </c>
      <c r="F74" s="148">
        <v>100000</v>
      </c>
      <c r="G74" s="149" t="str">
        <f>CHOOSE(MID(invoice[[#This Row],[تاریخ]],6,2),"فروردین","اردیبهشت","خرداد","تیر","مرداد","شهریور","مهر","آبان","آذر","دی","بهمن","اسفند")</f>
        <v>اسفند</v>
      </c>
      <c r="H74" s="149">
        <f>_xlfn.NUMBERVALUE(MID(invoice[[#This Row],[تاریخ]],1,4))</f>
        <v>1403</v>
      </c>
      <c r="I74" s="149" t="s">
        <v>241</v>
      </c>
      <c r="J74" s="149" t="s">
        <v>505</v>
      </c>
      <c r="K74" s="151">
        <v>46132</v>
      </c>
      <c r="L74" s="149">
        <f>IF(invoice[[#This Row],[سال]]=year,1,0)</f>
        <v>0</v>
      </c>
      <c r="M74" s="148"/>
      <c r="N74" s="149"/>
      <c r="O74" s="198">
        <f>SUMIF(bargiri[شماره پیش فاکتور],invoice[[#This Row],[شماره پیش فاکتور]],bargiri[میزان بارگیری شده])/invoice[[#This Row],[میزان سفارش]]</f>
        <v>1</v>
      </c>
    </row>
    <row r="75" spans="1:15" ht="30.6" customHeight="1" x14ac:dyDescent="0.25">
      <c r="A75" s="150" t="s">
        <v>564</v>
      </c>
      <c r="B75" s="150" t="s">
        <v>101</v>
      </c>
      <c r="C75" s="150" t="s">
        <v>554</v>
      </c>
      <c r="D75" s="150" t="s">
        <v>556</v>
      </c>
      <c r="E75" s="148">
        <v>100000</v>
      </c>
      <c r="F75" s="148">
        <v>142000</v>
      </c>
      <c r="G75" s="149" t="str">
        <f>CHOOSE(MID(invoice[[#This Row],[تاریخ]],6,2),"فروردین","اردیبهشت","خرداد","تیر","مرداد","شهریور","مهر","آبان","آذر","دی","بهمن","اسفند")</f>
        <v>اردیبهشت</v>
      </c>
      <c r="H75" s="149">
        <f>_xlfn.NUMBERVALUE(MID(invoice[[#This Row],[تاریخ]],1,4))</f>
        <v>1404</v>
      </c>
      <c r="I75" s="149" t="s">
        <v>241</v>
      </c>
      <c r="J75" s="149" t="s">
        <v>505</v>
      </c>
      <c r="K75" s="151">
        <v>46132</v>
      </c>
      <c r="L75" s="149">
        <f>IF(invoice[[#This Row],[سال]]=year,1,0)</f>
        <v>1</v>
      </c>
      <c r="M75" s="148"/>
      <c r="N75" s="149"/>
      <c r="O75" s="198">
        <f>SUMIF(bargiri[شماره پیش فاکتور],invoice[[#This Row],[شماره پیش فاکتور]],bargiri[میزان بارگیری شده])/invoice[[#This Row],[میزان سفارش]]</f>
        <v>0.12025</v>
      </c>
    </row>
    <row r="76" spans="1:15" ht="30.6" customHeight="1" x14ac:dyDescent="0.25">
      <c r="A76" s="150" t="s">
        <v>565</v>
      </c>
      <c r="B76" s="150" t="s">
        <v>102</v>
      </c>
      <c r="C76" s="150" t="s">
        <v>554</v>
      </c>
      <c r="D76" s="150" t="s">
        <v>556</v>
      </c>
      <c r="E76" s="148">
        <v>700000</v>
      </c>
      <c r="F76" s="148">
        <v>142000</v>
      </c>
      <c r="G76" s="149" t="str">
        <f>CHOOSE(MID(invoice[[#This Row],[تاریخ]],6,2),"فروردین","اردیبهشت","خرداد","تیر","مرداد","شهریور","مهر","آبان","آذر","دی","بهمن","اسفند")</f>
        <v>اردیبهشت</v>
      </c>
      <c r="H76" s="149">
        <f>_xlfn.NUMBERVALUE(MID(invoice[[#This Row],[تاریخ]],1,4))</f>
        <v>1404</v>
      </c>
      <c r="I76" s="149" t="s">
        <v>241</v>
      </c>
      <c r="J76" s="149" t="s">
        <v>505</v>
      </c>
      <c r="K76" s="151">
        <v>46132</v>
      </c>
      <c r="L76" s="149">
        <f>IF(invoice[[#This Row],[سال]]=year,1,0)</f>
        <v>1</v>
      </c>
      <c r="M76" s="148"/>
      <c r="N76" s="149"/>
      <c r="O76" s="198">
        <f>SUMIF(bargiri[شماره پیش فاکتور],invoice[[#This Row],[شماره پیش فاکتور]],bargiri[میزان بارگیری شده])/invoice[[#This Row],[میزان سفارش]]</f>
        <v>0</v>
      </c>
    </row>
    <row r="77" spans="1:15" ht="30.6" customHeight="1" x14ac:dyDescent="0.25">
      <c r="A77" s="150" t="s">
        <v>566</v>
      </c>
      <c r="B77" s="150" t="s">
        <v>103</v>
      </c>
      <c r="C77" s="150" t="s">
        <v>554</v>
      </c>
      <c r="D77" s="150" t="s">
        <v>556</v>
      </c>
      <c r="E77" s="148">
        <v>1000000</v>
      </c>
      <c r="F77" s="148">
        <v>142000</v>
      </c>
      <c r="G77" s="149" t="str">
        <f>CHOOSE(MID(invoice[[#This Row],[تاریخ]],6,2),"فروردین","اردیبهشت","خرداد","تیر","مرداد","شهریور","مهر","آبان","آذر","دی","بهمن","اسفند")</f>
        <v>اردیبهشت</v>
      </c>
      <c r="H77" s="149">
        <f>_xlfn.NUMBERVALUE(MID(invoice[[#This Row],[تاریخ]],1,4))</f>
        <v>1404</v>
      </c>
      <c r="I77" s="149" t="s">
        <v>241</v>
      </c>
      <c r="J77" s="149" t="s">
        <v>505</v>
      </c>
      <c r="K77" s="151">
        <v>46132</v>
      </c>
      <c r="L77" s="149">
        <f>IF(invoice[[#This Row],[سال]]=year,1,0)</f>
        <v>1</v>
      </c>
      <c r="M77" s="148"/>
      <c r="N77" s="149"/>
      <c r="O77" s="198">
        <f>SUMIF(bargiri[شماره پیش فاکتور],invoice[[#This Row],[شماره پیش فاکتور]],bargiri[میزان بارگیری شده])/invoice[[#This Row],[میزان سفارش]]</f>
        <v>0.16192200000000001</v>
      </c>
    </row>
    <row r="78" spans="1:15" ht="30.6" customHeight="1" x14ac:dyDescent="0.25">
      <c r="A78" s="150" t="s">
        <v>568</v>
      </c>
      <c r="B78" s="150" t="s">
        <v>104</v>
      </c>
      <c r="C78" s="150" t="s">
        <v>554</v>
      </c>
      <c r="D78" s="150" t="s">
        <v>556</v>
      </c>
      <c r="E78" s="148">
        <v>180000</v>
      </c>
      <c r="F78" s="148">
        <v>142000</v>
      </c>
      <c r="G78" s="149" t="str">
        <f>CHOOSE(MID(invoice[[#This Row],[تاریخ]],6,2),"فروردین","اردیبهشت","خرداد","تیر","مرداد","شهریور","مهر","آبان","آذر","دی","بهمن","اسفند")</f>
        <v>اردیبهشت</v>
      </c>
      <c r="H78" s="149">
        <f>_xlfn.NUMBERVALUE(MID(invoice[[#This Row],[تاریخ]],1,4))</f>
        <v>1404</v>
      </c>
      <c r="I78" s="149" t="s">
        <v>241</v>
      </c>
      <c r="J78" s="149" t="s">
        <v>505</v>
      </c>
      <c r="K78" s="151">
        <v>46132</v>
      </c>
      <c r="L78" s="149">
        <f>IF(invoice[[#This Row],[سال]]=year,1,0)</f>
        <v>1</v>
      </c>
      <c r="M78" s="148"/>
      <c r="N78" s="149"/>
      <c r="O78" s="198">
        <f>SUMIF(bargiri[شماره پیش فاکتور],invoice[[#This Row],[شماره پیش فاکتور]],bargiri[میزان بارگیری شده])/invoice[[#This Row],[میزان سفارش]]</f>
        <v>0</v>
      </c>
    </row>
    <row r="79" spans="1:15" ht="30.6" customHeight="1" x14ac:dyDescent="0.25">
      <c r="A79" s="150" t="s">
        <v>567</v>
      </c>
      <c r="B79" s="150" t="s">
        <v>104</v>
      </c>
      <c r="C79" s="150" t="s">
        <v>554</v>
      </c>
      <c r="D79" s="150" t="s">
        <v>556</v>
      </c>
      <c r="E79" s="148">
        <v>300000</v>
      </c>
      <c r="F79" s="148">
        <v>142000</v>
      </c>
      <c r="G79" s="149" t="str">
        <f>CHOOSE(MID(invoice[[#This Row],[تاریخ]],6,2),"فروردین","اردیبهشت","خرداد","تیر","مرداد","شهریور","مهر","آبان","آذر","دی","بهمن","اسفند")</f>
        <v>اردیبهشت</v>
      </c>
      <c r="H79" s="149">
        <f>_xlfn.NUMBERVALUE(MID(invoice[[#This Row],[تاریخ]],1,4))</f>
        <v>1404</v>
      </c>
      <c r="I79" s="149" t="s">
        <v>241</v>
      </c>
      <c r="J79" s="149" t="s">
        <v>505</v>
      </c>
      <c r="K79" s="151">
        <v>46132</v>
      </c>
      <c r="L79" s="149">
        <f>IF(invoice[[#This Row],[سال]]=year,1,0)</f>
        <v>1</v>
      </c>
      <c r="M79" s="148"/>
      <c r="N79" s="149"/>
      <c r="O79" s="198">
        <f>SUMIF(bargiri[شماره پیش فاکتور],invoice[[#This Row],[شماره پیش فاکتور]],bargiri[میزان بارگیری شده])/invoice[[#This Row],[میزان سفارش]]</f>
        <v>0</v>
      </c>
    </row>
    <row r="80" spans="1:15" ht="30.6" customHeight="1" x14ac:dyDescent="0.25">
      <c r="A80" s="150" t="s">
        <v>56</v>
      </c>
      <c r="B80" s="150" t="s">
        <v>109</v>
      </c>
      <c r="C80" s="150" t="s">
        <v>133</v>
      </c>
      <c r="D80" s="151" t="s">
        <v>185</v>
      </c>
      <c r="E80" s="148">
        <v>29755</v>
      </c>
      <c r="F80" s="148">
        <v>100000</v>
      </c>
      <c r="G80" s="149" t="str">
        <f>CHOOSE(MID(invoice[[#This Row],[تاریخ]],6,2),"فروردین","اردیبهشت","خرداد","تیر","مرداد","شهریور","مهر","آبان","آذر","دی","بهمن","اسفند")</f>
        <v>اسفند</v>
      </c>
      <c r="H80" s="149">
        <f>_xlfn.NUMBERVALUE(MID(invoice[[#This Row],[تاریخ]],1,4))</f>
        <v>1403</v>
      </c>
      <c r="I80" s="149" t="s">
        <v>241</v>
      </c>
      <c r="J80" s="149" t="s">
        <v>505</v>
      </c>
      <c r="K80" s="151">
        <v>46132</v>
      </c>
      <c r="L80" s="149">
        <f>IF(invoice[[#This Row],[سال]]=year,1,0)</f>
        <v>0</v>
      </c>
      <c r="M80" s="148"/>
      <c r="N80" s="149"/>
      <c r="O80" s="198">
        <f>SUMIF(bargiri[شماره پیش فاکتور],invoice[[#This Row],[شماره پیش فاکتور]],bargiri[میزان بارگیری شده])/invoice[[#This Row],[میزان سفارش]]</f>
        <v>1</v>
      </c>
    </row>
    <row r="81" spans="1:15" ht="30.6" customHeight="1" x14ac:dyDescent="0.25">
      <c r="A81" s="150" t="s">
        <v>570</v>
      </c>
      <c r="B81" s="150" t="s">
        <v>109</v>
      </c>
      <c r="C81" s="150" t="s">
        <v>554</v>
      </c>
      <c r="D81" s="150" t="s">
        <v>556</v>
      </c>
      <c r="E81" s="148">
        <v>2470245</v>
      </c>
      <c r="F81" s="148">
        <v>142000</v>
      </c>
      <c r="G81" s="149" t="str">
        <f>CHOOSE(MID(invoice[[#This Row],[تاریخ]],6,2),"فروردین","اردیبهشت","خرداد","تیر","مرداد","شهریور","مهر","آبان","آذر","دی","بهمن","اسفند")</f>
        <v>اردیبهشت</v>
      </c>
      <c r="H81" s="149">
        <f>_xlfn.NUMBERVALUE(MID(invoice[[#This Row],[تاریخ]],1,4))</f>
        <v>1404</v>
      </c>
      <c r="I81" s="149" t="s">
        <v>241</v>
      </c>
      <c r="J81" s="149" t="s">
        <v>505</v>
      </c>
      <c r="K81" s="151">
        <v>46132</v>
      </c>
      <c r="L81" s="149">
        <f>IF(invoice[[#This Row],[سال]]=year,1,0)</f>
        <v>1</v>
      </c>
      <c r="M81" s="148"/>
      <c r="N81" s="149"/>
      <c r="O81" s="198">
        <f>SUMIF(bargiri[شماره پیش فاکتور],invoice[[#This Row],[شماره پیش فاکتور]],bargiri[میزان بارگیری شده])/invoice[[#This Row],[میزان سفارش]]</f>
        <v>9.8965892047145121E-2</v>
      </c>
    </row>
    <row r="82" spans="1:15" ht="30.6" customHeight="1" x14ac:dyDescent="0.25">
      <c r="A82" s="150" t="s">
        <v>571</v>
      </c>
      <c r="B82" s="150" t="s">
        <v>116</v>
      </c>
      <c r="C82" s="150" t="s">
        <v>554</v>
      </c>
      <c r="D82" s="150" t="s">
        <v>556</v>
      </c>
      <c r="E82" s="148">
        <v>300000</v>
      </c>
      <c r="F82" s="148">
        <v>142000</v>
      </c>
      <c r="G82" s="149" t="str">
        <f>CHOOSE(MID(invoice[[#This Row],[تاریخ]],6,2),"فروردین","اردیبهشت","خرداد","تیر","مرداد","شهریور","مهر","آبان","آذر","دی","بهمن","اسفند")</f>
        <v>اردیبهشت</v>
      </c>
      <c r="H82" s="149">
        <f>_xlfn.NUMBERVALUE(MID(invoice[[#This Row],[تاریخ]],1,4))</f>
        <v>1404</v>
      </c>
      <c r="I82" s="149" t="s">
        <v>241</v>
      </c>
      <c r="J82" s="149" t="s">
        <v>505</v>
      </c>
      <c r="K82" s="151">
        <v>46132</v>
      </c>
      <c r="L82" s="149">
        <f>IF(invoice[[#This Row],[سال]]=year,1,0)</f>
        <v>1</v>
      </c>
      <c r="M82" s="148"/>
      <c r="N82" s="149"/>
      <c r="O82" s="198">
        <f>SUMIF(bargiri[شماره پیش فاکتور],invoice[[#This Row],[شماره پیش فاکتور]],bargiri[میزان بارگیری شده])/invoice[[#This Row],[میزان سفارش]]</f>
        <v>1</v>
      </c>
    </row>
    <row r="83" spans="1:15" ht="30.6" customHeight="1" x14ac:dyDescent="0.25">
      <c r="A83" s="150" t="s">
        <v>573</v>
      </c>
      <c r="B83" s="150" t="s">
        <v>117</v>
      </c>
      <c r="C83" s="150" t="s">
        <v>554</v>
      </c>
      <c r="D83" s="150" t="s">
        <v>556</v>
      </c>
      <c r="E83" s="148">
        <v>180000</v>
      </c>
      <c r="F83" s="148">
        <v>142000</v>
      </c>
      <c r="G83" s="149" t="str">
        <f>CHOOSE(MID(invoice[[#This Row],[تاریخ]],6,2),"فروردین","اردیبهشت","خرداد","تیر","مرداد","شهریور","مهر","آبان","آذر","دی","بهمن","اسفند")</f>
        <v>اردیبهشت</v>
      </c>
      <c r="H83" s="149">
        <f>_xlfn.NUMBERVALUE(MID(invoice[[#This Row],[تاریخ]],1,4))</f>
        <v>1404</v>
      </c>
      <c r="I83" s="149" t="s">
        <v>241</v>
      </c>
      <c r="J83" s="149" t="s">
        <v>505</v>
      </c>
      <c r="K83" s="151">
        <v>46132</v>
      </c>
      <c r="L83" s="149">
        <f>IF(invoice[[#This Row],[سال]]=year,1,0)</f>
        <v>1</v>
      </c>
      <c r="M83" s="148"/>
      <c r="N83" s="149"/>
      <c r="O83" s="198">
        <f>SUMIF(bargiri[شماره پیش فاکتور],invoice[[#This Row],[شماره پیش فاکتور]],bargiri[میزان بارگیری شده])/invoice[[#This Row],[میزان سفارش]]</f>
        <v>0.51191666666666669</v>
      </c>
    </row>
    <row r="84" spans="1:15" ht="30.6" customHeight="1" x14ac:dyDescent="0.25">
      <c r="A84" s="150" t="s">
        <v>89</v>
      </c>
      <c r="B84" s="150" t="s">
        <v>121</v>
      </c>
      <c r="C84" s="150" t="s">
        <v>133</v>
      </c>
      <c r="D84" s="151" t="s">
        <v>185</v>
      </c>
      <c r="E84" s="148">
        <v>17960</v>
      </c>
      <c r="F84" s="148">
        <v>100000</v>
      </c>
      <c r="G84" s="149" t="str">
        <f>CHOOSE(MID(invoice[[#This Row],[تاریخ]],6,2),"فروردین","اردیبهشت","خرداد","تیر","مرداد","شهریور","مهر","آبان","آذر","دی","بهمن","اسفند")</f>
        <v>اسفند</v>
      </c>
      <c r="H84" s="149">
        <f>_xlfn.NUMBERVALUE(MID(invoice[[#This Row],[تاریخ]],1,4))</f>
        <v>1403</v>
      </c>
      <c r="I84" s="149" t="s">
        <v>241</v>
      </c>
      <c r="J84" s="149" t="s">
        <v>505</v>
      </c>
      <c r="K84" s="151">
        <v>46132</v>
      </c>
      <c r="L84" s="149">
        <f>IF(invoice[[#This Row],[سال]]=year,1,0)</f>
        <v>0</v>
      </c>
      <c r="M84" s="148"/>
      <c r="N84" s="149"/>
      <c r="O84" s="198">
        <f>SUMIF(bargiri[شماره پیش فاکتور],invoice[[#This Row],[شماره پیش فاکتور]],bargiri[میزان بارگیری شده])/invoice[[#This Row],[میزان سفارش]]</f>
        <v>1</v>
      </c>
    </row>
    <row r="85" spans="1:15" ht="30.6" customHeight="1" x14ac:dyDescent="0.25">
      <c r="A85" s="150" t="s">
        <v>574</v>
      </c>
      <c r="B85" s="150" t="s">
        <v>121</v>
      </c>
      <c r="C85" s="150" t="s">
        <v>554</v>
      </c>
      <c r="D85" s="150" t="s">
        <v>556</v>
      </c>
      <c r="E85" s="148">
        <v>182040</v>
      </c>
      <c r="F85" s="148">
        <v>142000</v>
      </c>
      <c r="G85" s="149" t="str">
        <f>CHOOSE(MID(invoice[[#This Row],[تاریخ]],6,2),"فروردین","اردیبهشت","خرداد","تیر","مرداد","شهریور","مهر","آبان","آذر","دی","بهمن","اسفند")</f>
        <v>اردیبهشت</v>
      </c>
      <c r="H85" s="149">
        <f>_xlfn.NUMBERVALUE(MID(invoice[[#This Row],[تاریخ]],1,4))</f>
        <v>1404</v>
      </c>
      <c r="I85" s="149" t="s">
        <v>241</v>
      </c>
      <c r="J85" s="149" t="s">
        <v>505</v>
      </c>
      <c r="K85" s="151">
        <v>46132</v>
      </c>
      <c r="L85" s="149">
        <f>IF(invoice[[#This Row],[سال]]=year,1,0)</f>
        <v>1</v>
      </c>
      <c r="M85" s="148"/>
      <c r="N85" s="149"/>
      <c r="O85" s="198">
        <f>SUMIF(bargiri[شماره پیش فاکتور],invoice[[#This Row],[شماره پیش فاکتور]],bargiri[میزان بارگیری شده])/invoice[[#This Row],[میزان سفارش]]</f>
        <v>0.11552406064601187</v>
      </c>
    </row>
    <row r="86" spans="1:15" ht="30.6" customHeight="1" x14ac:dyDescent="0.25">
      <c r="A86" s="150" t="s">
        <v>575</v>
      </c>
      <c r="B86" s="150" t="s">
        <v>122</v>
      </c>
      <c r="C86" s="150" t="s">
        <v>554</v>
      </c>
      <c r="D86" s="150" t="s">
        <v>556</v>
      </c>
      <c r="E86" s="148">
        <v>600000</v>
      </c>
      <c r="F86" s="148">
        <v>142000</v>
      </c>
      <c r="G86" s="149" t="str">
        <f>CHOOSE(MID(invoice[[#This Row],[تاریخ]],6,2),"فروردین","اردیبهشت","خرداد","تیر","مرداد","شهریور","مهر","آبان","آذر","دی","بهمن","اسفند")</f>
        <v>اردیبهشت</v>
      </c>
      <c r="H86" s="149">
        <f>_xlfn.NUMBERVALUE(MID(invoice[[#This Row],[تاریخ]],1,4))</f>
        <v>1404</v>
      </c>
      <c r="I86" s="149" t="s">
        <v>241</v>
      </c>
      <c r="J86" s="149" t="s">
        <v>505</v>
      </c>
      <c r="K86" s="151">
        <v>46132</v>
      </c>
      <c r="L86" s="149">
        <f>IF(invoice[[#This Row],[سال]]=year,1,0)</f>
        <v>1</v>
      </c>
      <c r="M86" s="148"/>
      <c r="N86" s="149"/>
      <c r="O86" s="198">
        <f>SUMIF(bargiri[شماره پیش فاکتور],invoice[[#This Row],[شماره پیش فاکتور]],bargiri[میزان بارگیری شده])/invoice[[#This Row],[میزان سفارش]]</f>
        <v>0.23629166666666668</v>
      </c>
    </row>
    <row r="87" spans="1:15" ht="30.6" customHeight="1" x14ac:dyDescent="0.25">
      <c r="A87" s="150" t="s">
        <v>576</v>
      </c>
      <c r="B87" s="150" t="s">
        <v>123</v>
      </c>
      <c r="C87" s="150" t="s">
        <v>554</v>
      </c>
      <c r="D87" s="150" t="s">
        <v>556</v>
      </c>
      <c r="E87" s="148">
        <v>450000</v>
      </c>
      <c r="F87" s="148">
        <v>142000</v>
      </c>
      <c r="G87" s="149" t="str">
        <f>CHOOSE(MID(invoice[[#This Row],[تاریخ]],6,2),"فروردین","اردیبهشت","خرداد","تیر","مرداد","شهریور","مهر","آبان","آذر","دی","بهمن","اسفند")</f>
        <v>اردیبهشت</v>
      </c>
      <c r="H87" s="149">
        <f>_xlfn.NUMBERVALUE(MID(invoice[[#This Row],[تاریخ]],1,4))</f>
        <v>1404</v>
      </c>
      <c r="I87" s="149" t="s">
        <v>241</v>
      </c>
      <c r="J87" s="149" t="s">
        <v>505</v>
      </c>
      <c r="K87" s="151">
        <v>46132</v>
      </c>
      <c r="L87" s="149">
        <f>IF(invoice[[#This Row],[سال]]=year,1,0)</f>
        <v>1</v>
      </c>
      <c r="M87" s="148"/>
      <c r="N87" s="149"/>
      <c r="O87" s="198">
        <f>SUMIF(bargiri[شماره پیش فاکتور],invoice[[#This Row],[شماره پیش فاکتور]],bargiri[میزان بارگیری شده])/invoice[[#This Row],[میزان سفارش]]</f>
        <v>5.7044444444444446E-2</v>
      </c>
    </row>
    <row r="88" spans="1:15" ht="30.6" customHeight="1" x14ac:dyDescent="0.25">
      <c r="A88" s="150" t="s">
        <v>96</v>
      </c>
      <c r="B88" s="150" t="s">
        <v>125</v>
      </c>
      <c r="C88" s="150" t="s">
        <v>353</v>
      </c>
      <c r="D88" s="151" t="s">
        <v>185</v>
      </c>
      <c r="E88" s="148">
        <v>28950</v>
      </c>
      <c r="F88" s="148">
        <v>100000</v>
      </c>
      <c r="G88" s="149" t="str">
        <f>CHOOSE(MID(invoice[[#This Row],[تاریخ]],6,2),"فروردین","اردیبهشت","خرداد","تیر","مرداد","شهریور","مهر","آبان","آذر","دی","بهمن","اسفند")</f>
        <v>اسفند</v>
      </c>
      <c r="H88" s="149">
        <f>_xlfn.NUMBERVALUE(MID(invoice[[#This Row],[تاریخ]],1,4))</f>
        <v>1403</v>
      </c>
      <c r="I88" s="149" t="s">
        <v>241</v>
      </c>
      <c r="J88" s="149" t="s">
        <v>505</v>
      </c>
      <c r="K88" s="151">
        <v>46132</v>
      </c>
      <c r="L88" s="149">
        <f>IF(invoice[[#This Row],[سال]]=year,1,0)</f>
        <v>0</v>
      </c>
      <c r="M88" s="148"/>
      <c r="N88" s="149"/>
      <c r="O88" s="198">
        <f>SUMIF(bargiri[شماره پیش فاکتور],invoice[[#This Row],[شماره پیش فاکتور]],bargiri[میزان بارگیری شده])/invoice[[#This Row],[میزان سفارش]]</f>
        <v>1</v>
      </c>
    </row>
    <row r="89" spans="1:15" ht="30.6" customHeight="1" x14ac:dyDescent="0.25">
      <c r="A89" s="150" t="s">
        <v>578</v>
      </c>
      <c r="B89" s="150" t="s">
        <v>98</v>
      </c>
      <c r="C89" s="150" t="s">
        <v>579</v>
      </c>
      <c r="D89" s="151" t="s">
        <v>185</v>
      </c>
      <c r="E89" s="148">
        <v>120000</v>
      </c>
      <c r="F89" s="148">
        <v>142000</v>
      </c>
      <c r="G89" s="149" t="str">
        <f>CHOOSE(MID(invoice[[#This Row],[تاریخ]],6,2),"فروردین","اردیبهشت","خرداد","تیر","مرداد","شهریور","مهر","آبان","آذر","دی","بهمن","اسفند")</f>
        <v>خرداد</v>
      </c>
      <c r="H89" s="149">
        <f>_xlfn.NUMBERVALUE(MID(invoice[[#This Row],[تاریخ]],1,4))</f>
        <v>1403</v>
      </c>
      <c r="I89" s="149" t="s">
        <v>241</v>
      </c>
      <c r="J89" s="149" t="s">
        <v>505</v>
      </c>
      <c r="K89" s="151">
        <v>46132</v>
      </c>
      <c r="L89" s="149">
        <f>IF(invoice[[#This Row],[سال]]=year,1,0)</f>
        <v>0</v>
      </c>
      <c r="M89" s="148"/>
      <c r="N89" s="149"/>
      <c r="O89" s="198">
        <f>SUMIF(bargiri[شماره پیش فاکتور],invoice[[#This Row],[شماره پیش فاکتور]],bargiri[میزان بارگیری شده])/invoice[[#This Row],[میزان سفارش]]</f>
        <v>0.44854166666666667</v>
      </c>
    </row>
    <row r="90" spans="1:15" ht="30.6" customHeight="1" x14ac:dyDescent="0.25">
      <c r="A90" s="150" t="s">
        <v>4</v>
      </c>
      <c r="B90" s="150" t="s">
        <v>98</v>
      </c>
      <c r="C90" s="150" t="s">
        <v>132</v>
      </c>
      <c r="D90" s="151" t="s">
        <v>169</v>
      </c>
      <c r="E90" s="148">
        <v>85900</v>
      </c>
      <c r="F90" s="148">
        <v>65000</v>
      </c>
      <c r="G90" s="149" t="str">
        <f>CHOOSE(MID(invoice[[#This Row],[تاریخ]],6,2),"فروردین","اردیبهشت","خرداد","تیر","مرداد","شهریور","مهر","آبان","آذر","دی","بهمن","اسفند")</f>
        <v>اسفند</v>
      </c>
      <c r="H90" s="149">
        <f>_xlfn.NUMBERVALUE(MID(invoice[[#This Row],[تاریخ]],1,4))</f>
        <v>1403</v>
      </c>
      <c r="I90" s="149" t="s">
        <v>240</v>
      </c>
      <c r="J90" s="149" t="s">
        <v>505</v>
      </c>
      <c r="K90" s="151">
        <v>46101</v>
      </c>
      <c r="L90" s="149">
        <f>IF(invoice[[#This Row],[سال]]=year,1,0)</f>
        <v>0</v>
      </c>
      <c r="M90" s="148"/>
      <c r="N90" s="149"/>
      <c r="O90" s="198">
        <f>SUMIF(bargiri[شماره پیش فاکتور],invoice[[#This Row],[شماره پیش فاکتور]],bargiri[میزان بارگیری شده])/invoice[[#This Row],[میزان سفارش]]</f>
        <v>1</v>
      </c>
    </row>
    <row r="91" spans="1:15" ht="30.6" customHeight="1" x14ac:dyDescent="0.25">
      <c r="A91" s="150" t="s">
        <v>22</v>
      </c>
      <c r="B91" s="150" t="s">
        <v>102</v>
      </c>
      <c r="C91" s="150" t="s">
        <v>144</v>
      </c>
      <c r="D91" s="151" t="s">
        <v>144</v>
      </c>
      <c r="E91" s="148">
        <v>150000</v>
      </c>
      <c r="F91" s="148">
        <v>89000</v>
      </c>
      <c r="G91" s="149" t="str">
        <f>CHOOSE(MID(invoice[[#This Row],[تاریخ]],6,2),"فروردین","اردیبهشت","خرداد","تیر","مرداد","شهریور","مهر","آبان","آذر","دی","بهمن","اسفند")</f>
        <v>اسفند</v>
      </c>
      <c r="H91" s="149">
        <f>_xlfn.NUMBERVALUE(MID(invoice[[#This Row],[تاریخ]],1,4))</f>
        <v>1403</v>
      </c>
      <c r="I91" s="149" t="s">
        <v>243</v>
      </c>
      <c r="J91" s="149" t="s">
        <v>505</v>
      </c>
      <c r="K91" s="151">
        <v>46101</v>
      </c>
      <c r="L91" s="149">
        <f>IF(invoice[[#This Row],[سال]]=year,1,0)</f>
        <v>0</v>
      </c>
      <c r="M91" s="148"/>
      <c r="N91" s="149"/>
      <c r="O91" s="198">
        <f>SUMIF(bargiri[شماره پیش فاکتور],invoice[[#This Row],[شماره پیش فاکتور]],bargiri[میزان بارگیری شده])/invoice[[#This Row],[میزان سفارش]]</f>
        <v>0</v>
      </c>
    </row>
    <row r="92" spans="1:15" ht="30.6" customHeight="1" x14ac:dyDescent="0.25">
      <c r="A92" s="150" t="s">
        <v>6</v>
      </c>
      <c r="B92" s="150" t="s">
        <v>98</v>
      </c>
      <c r="C92" s="150" t="s">
        <v>134</v>
      </c>
      <c r="D92" s="151" t="s">
        <v>233</v>
      </c>
      <c r="E92" s="148">
        <v>20000</v>
      </c>
      <c r="F92" s="148">
        <v>92180</v>
      </c>
      <c r="G92" s="149" t="str">
        <f>CHOOSE(MID(invoice[[#This Row],[تاریخ]],6,2),"فروردین","اردیبهشت","خرداد","تیر","مرداد","شهریور","مهر","آبان","آذر","دی","بهمن","اسفند")</f>
        <v>اسفند</v>
      </c>
      <c r="H92" s="149">
        <f>_xlfn.NUMBERVALUE(MID(invoice[[#This Row],[تاریخ]],1,4))</f>
        <v>1403</v>
      </c>
      <c r="I92" s="149" t="s">
        <v>242</v>
      </c>
      <c r="J92" s="149" t="s">
        <v>505</v>
      </c>
      <c r="K92" s="151">
        <v>46101</v>
      </c>
      <c r="L92" s="149">
        <f>IF(invoice[[#This Row],[سال]]=year,1,0)</f>
        <v>0</v>
      </c>
      <c r="M92" s="148"/>
      <c r="N92" s="149"/>
      <c r="O92" s="198">
        <f>SUMIF(bargiri[شماره پیش فاکتور],invoice[[#This Row],[شماره پیش فاکتور]],bargiri[میزان بارگیری شده])/invoice[[#This Row],[میزان سفارش]]</f>
        <v>1</v>
      </c>
    </row>
    <row r="93" spans="1:15" ht="30.6" customHeight="1" x14ac:dyDescent="0.25">
      <c r="A93" s="150" t="s">
        <v>70</v>
      </c>
      <c r="B93" s="150" t="s">
        <v>116</v>
      </c>
      <c r="C93" s="150" t="s">
        <v>134</v>
      </c>
      <c r="D93" s="151" t="s">
        <v>134</v>
      </c>
      <c r="E93" s="148">
        <v>30000</v>
      </c>
      <c r="F93" s="148">
        <v>92179</v>
      </c>
      <c r="G93" s="149" t="str">
        <f>CHOOSE(MID(invoice[[#This Row],[تاریخ]],6,2),"فروردین","اردیبهشت","خرداد","تیر","مرداد","شهریور","مهر","آبان","آذر","دی","بهمن","اسفند")</f>
        <v>اسفند</v>
      </c>
      <c r="H93" s="149">
        <f>_xlfn.NUMBERVALUE(MID(invoice[[#This Row],[تاریخ]],1,4))</f>
        <v>1403</v>
      </c>
      <c r="I93" s="149" t="s">
        <v>242</v>
      </c>
      <c r="J93" s="149" t="s">
        <v>505</v>
      </c>
      <c r="K93" s="151">
        <v>46101</v>
      </c>
      <c r="L93" s="149">
        <f>IF(invoice[[#This Row],[سال]]=year,1,0)</f>
        <v>0</v>
      </c>
      <c r="M93" s="148"/>
      <c r="N93" s="149"/>
      <c r="O93" s="198">
        <f>SUMIF(bargiri[شماره پیش فاکتور],invoice[[#This Row],[شماره پیش فاکتور]],bargiri[میزان بارگیری شده])/invoice[[#This Row],[میزان سفارش]]</f>
        <v>1</v>
      </c>
    </row>
    <row r="94" spans="1:15" ht="30.6" customHeight="1" x14ac:dyDescent="0.25">
      <c r="A94" s="150" t="s">
        <v>34</v>
      </c>
      <c r="B94" s="150" t="s">
        <v>104</v>
      </c>
      <c r="C94" s="150" t="s">
        <v>152</v>
      </c>
      <c r="D94" s="151" t="s">
        <v>152</v>
      </c>
      <c r="E94" s="148">
        <v>50000</v>
      </c>
      <c r="F94" s="148">
        <v>66200</v>
      </c>
      <c r="G94" s="149" t="str">
        <f>CHOOSE(MID(invoice[[#This Row],[تاریخ]],6,2),"فروردین","اردیبهشت","خرداد","تیر","مرداد","شهریور","مهر","آبان","آذر","دی","بهمن","اسفند")</f>
        <v>اسفند</v>
      </c>
      <c r="H94" s="149">
        <f>_xlfn.NUMBERVALUE(MID(invoice[[#This Row],[تاریخ]],1,4))</f>
        <v>1403</v>
      </c>
      <c r="I94" s="149" t="s">
        <v>240</v>
      </c>
      <c r="J94" s="149" t="s">
        <v>505</v>
      </c>
      <c r="K94" s="151">
        <v>46101</v>
      </c>
      <c r="L94" s="149">
        <f>IF(invoice[[#This Row],[سال]]=year,1,0)</f>
        <v>0</v>
      </c>
      <c r="M94" s="148"/>
      <c r="N94" s="149"/>
      <c r="O94" s="198">
        <f>SUMIF(bargiri[شماره پیش فاکتور],invoice[[#This Row],[شماره پیش فاکتور]],bargiri[میزان بارگیری شده])/invoice[[#This Row],[میزان سفارش]]</f>
        <v>8.5500000000000007E-2</v>
      </c>
    </row>
    <row r="95" spans="1:15" ht="30.6" customHeight="1" x14ac:dyDescent="0.25">
      <c r="A95" s="150" t="s">
        <v>577</v>
      </c>
      <c r="B95" s="150" t="s">
        <v>125</v>
      </c>
      <c r="C95" s="150" t="s">
        <v>554</v>
      </c>
      <c r="D95" s="150" t="s">
        <v>556</v>
      </c>
      <c r="E95" s="148">
        <v>271050</v>
      </c>
      <c r="F95" s="148">
        <v>142000</v>
      </c>
      <c r="G95" s="149" t="str">
        <f>CHOOSE(MID(invoice[[#This Row],[تاریخ]],6,2),"فروردین","اردیبهشت","خرداد","تیر","مرداد","شهریور","مهر","آبان","آذر","دی","بهمن","اسفند")</f>
        <v>اردیبهشت</v>
      </c>
      <c r="H95" s="149">
        <f>_xlfn.NUMBERVALUE(MID(invoice[[#This Row],[تاریخ]],1,4))</f>
        <v>1404</v>
      </c>
      <c r="I95" s="149" t="s">
        <v>241</v>
      </c>
      <c r="J95" s="149" t="s">
        <v>505</v>
      </c>
      <c r="K95" s="151">
        <v>46132</v>
      </c>
      <c r="L95" s="149">
        <f>IF(invoice[[#This Row],[سال]]=year,1,0)</f>
        <v>1</v>
      </c>
      <c r="M95" s="148"/>
      <c r="N95" s="149"/>
      <c r="O95" s="198">
        <f>SUMIF(bargiri[شماره پیش فاکتور],invoice[[#This Row],[شماره پیش فاکتور]],bargiri[میزان بارگیری شده])/invoice[[#This Row],[میزان سفارش]]</f>
        <v>0.31477587161040399</v>
      </c>
    </row>
    <row r="96" spans="1:15" ht="30.6" customHeight="1" x14ac:dyDescent="0.25">
      <c r="A96" s="150" t="s">
        <v>569</v>
      </c>
      <c r="B96" s="150" t="s">
        <v>104</v>
      </c>
      <c r="C96" s="150" t="s">
        <v>554</v>
      </c>
      <c r="D96" s="150" t="s">
        <v>556</v>
      </c>
      <c r="E96" s="148">
        <v>300000</v>
      </c>
      <c r="F96" s="148">
        <v>142000</v>
      </c>
      <c r="G96" s="149" t="str">
        <f>CHOOSE(MID(invoice[[#This Row],[تاریخ]],6,2),"فروردین","اردیبهشت","خرداد","تیر","مرداد","شهریور","مهر","آبان","آذر","دی","بهمن","اسفند")</f>
        <v>اردیبهشت</v>
      </c>
      <c r="H96" s="149">
        <f>_xlfn.NUMBERVALUE(MID(invoice[[#This Row],[تاریخ]],1,4))</f>
        <v>1404</v>
      </c>
      <c r="I96" s="149" t="s">
        <v>241</v>
      </c>
      <c r="J96" s="149" t="s">
        <v>505</v>
      </c>
      <c r="K96" s="151">
        <v>46132</v>
      </c>
      <c r="L96" s="149">
        <f>IF(invoice[[#This Row],[سال]]=year,1,0)</f>
        <v>1</v>
      </c>
      <c r="M96" s="148"/>
      <c r="N96" s="149"/>
      <c r="O96" s="198">
        <f>SUMIF(bargiri[شماره پیش فاکتور],invoice[[#This Row],[شماره پیش فاکتور]],bargiri[میزان بارگیری شده])/invoice[[#This Row],[میزان سفارش]]</f>
        <v>0.51129999999999998</v>
      </c>
    </row>
    <row r="97" spans="1:15" ht="30.6" customHeight="1" x14ac:dyDescent="0.25">
      <c r="A97" s="150" t="s">
        <v>3</v>
      </c>
      <c r="B97" s="150" t="s">
        <v>98</v>
      </c>
      <c r="C97" s="150" t="s">
        <v>131</v>
      </c>
      <c r="D97" s="151" t="s">
        <v>131</v>
      </c>
      <c r="E97" s="148">
        <v>34360</v>
      </c>
      <c r="F97" s="148">
        <v>65000</v>
      </c>
      <c r="G97" s="149" t="str">
        <f>CHOOSE(MID(invoice[[#This Row],[تاریخ]],6,2),"فروردین","اردیبهشت","خرداد","تیر","مرداد","شهریور","مهر","آبان","آذر","دی","بهمن","اسفند")</f>
        <v>اسفند</v>
      </c>
      <c r="H97" s="149">
        <f>_xlfn.NUMBERVALUE(MID(invoice[[#This Row],[تاریخ]],1,4))</f>
        <v>1403</v>
      </c>
      <c r="I97" s="149" t="s">
        <v>240</v>
      </c>
      <c r="J97" s="149" t="s">
        <v>505</v>
      </c>
      <c r="K97" s="151">
        <v>46101</v>
      </c>
      <c r="L97" s="149">
        <f>IF(invoice[[#This Row],[سال]]=year,1,0)</f>
        <v>0</v>
      </c>
      <c r="M97" s="148"/>
      <c r="N97" s="149"/>
      <c r="O97" s="198">
        <f>SUMIF(bargiri[شماره پیش فاکتور],invoice[[#This Row],[شماره پیش فاکتور]],bargiri[میزان بارگیری شده])/invoice[[#This Row],[میزان سفارش]]</f>
        <v>1</v>
      </c>
    </row>
    <row r="98" spans="1:15" ht="30.6" customHeight="1" x14ac:dyDescent="0.25">
      <c r="A98" s="150" t="s">
        <v>67</v>
      </c>
      <c r="B98" s="150" t="s">
        <v>116</v>
      </c>
      <c r="C98" s="150" t="s">
        <v>169</v>
      </c>
      <c r="D98" s="151" t="s">
        <v>169</v>
      </c>
      <c r="E98" s="148">
        <v>51540</v>
      </c>
      <c r="F98" s="148">
        <v>65000</v>
      </c>
      <c r="G98" s="149" t="str">
        <f>CHOOSE(MID(invoice[[#This Row],[تاریخ]],6,2),"فروردین","اردیبهشت","خرداد","تیر","مرداد","شهریور","مهر","آبان","آذر","دی","بهمن","اسفند")</f>
        <v>اسفند</v>
      </c>
      <c r="H98" s="149">
        <f>_xlfn.NUMBERVALUE(MID(invoice[[#This Row],[تاریخ]],1,4))</f>
        <v>1403</v>
      </c>
      <c r="I98" s="149" t="s">
        <v>240</v>
      </c>
      <c r="J98" s="149" t="s">
        <v>505</v>
      </c>
      <c r="K98" s="151">
        <v>46101</v>
      </c>
      <c r="L98" s="149">
        <f>IF(invoice[[#This Row],[سال]]=year,1,0)</f>
        <v>0</v>
      </c>
      <c r="M98" s="148"/>
      <c r="N98" s="149"/>
      <c r="O98" s="198">
        <f>SUMIF(bargiri[شماره پیش فاکتور],invoice[[#This Row],[شماره پیش فاکتور]],bargiri[میزان بارگیری شده])/invoice[[#This Row],[میزان سفارش]]</f>
        <v>0.58333333333333337</v>
      </c>
    </row>
    <row r="99" spans="1:15" ht="30.6" customHeight="1" x14ac:dyDescent="0.25">
      <c r="A99" s="150" t="s">
        <v>129</v>
      </c>
      <c r="B99" s="150" t="s">
        <v>111</v>
      </c>
      <c r="C99" s="150" t="s">
        <v>184</v>
      </c>
      <c r="D99" s="151" t="s">
        <v>232</v>
      </c>
      <c r="E99" s="148">
        <v>6000</v>
      </c>
      <c r="F99" s="148">
        <v>120000</v>
      </c>
      <c r="G99" s="149" t="str">
        <f>CHOOSE(MID(invoice[[#This Row],[تاریخ]],6,2),"فروردین","اردیبهشت","خرداد","تیر","مرداد","شهریور","مهر","آبان","آذر","دی","بهمن","اسفند")</f>
        <v>فروردین</v>
      </c>
      <c r="H99" s="149">
        <f>_xlfn.NUMBERVALUE(MID(invoice[[#This Row],[تاریخ]],1,4))</f>
        <v>1404</v>
      </c>
      <c r="I99" s="149" t="s">
        <v>243</v>
      </c>
      <c r="J99" s="149" t="s">
        <v>505</v>
      </c>
      <c r="K99" s="151">
        <v>46101</v>
      </c>
      <c r="L99" s="149">
        <f>IF(invoice[[#This Row],[سال]]=year,1,0)</f>
        <v>1</v>
      </c>
      <c r="M99" s="148"/>
      <c r="N99" s="149"/>
      <c r="O99" s="198">
        <f>SUMIF(bargiri[شماره پیش فاکتور],invoice[[#This Row],[شماره پیش فاکتور]],bargiri[میزان بارگیری شده])/invoice[[#This Row],[میزان سفارش]]</f>
        <v>0.88833333333333331</v>
      </c>
    </row>
    <row r="100" spans="1:15" ht="30.6" customHeight="1" x14ac:dyDescent="0.25">
      <c r="A100" s="150" t="s">
        <v>536</v>
      </c>
      <c r="B100" s="150" t="s">
        <v>123</v>
      </c>
      <c r="C100" s="150" t="s">
        <v>185</v>
      </c>
      <c r="D100" s="150" t="s">
        <v>185</v>
      </c>
      <c r="E100" s="148">
        <v>51890</v>
      </c>
      <c r="F100" s="148">
        <v>100000</v>
      </c>
      <c r="G100" s="149" t="str">
        <f>CHOOSE(MID(invoice[[#This Row],[تاریخ]],6,2),"فروردین","اردیبهشت","خرداد","تیر","مرداد","شهریور","مهر","آبان","آذر","دی","بهمن","اسفند")</f>
        <v>اردیبهشت</v>
      </c>
      <c r="H100" s="149">
        <f>_xlfn.NUMBERVALUE(MID(invoice[[#This Row],[تاریخ]],1,4))</f>
        <v>1404</v>
      </c>
      <c r="I100" s="149" t="s">
        <v>243</v>
      </c>
      <c r="J100" s="149" t="s">
        <v>505</v>
      </c>
      <c r="K100" s="152">
        <v>45922</v>
      </c>
      <c r="L100" s="149">
        <f>IF(invoice[[#This Row],[سال]]=year,1,0)</f>
        <v>1</v>
      </c>
      <c r="M100" s="148"/>
      <c r="N100" s="149"/>
      <c r="O100" s="198">
        <f>SUMIF(bargiri[شماره پیش فاکتور],invoice[[#This Row],[شماره پیش فاکتور]],bargiri[میزان بارگیری شده])/invoice[[#This Row],[میزان سفارش]]</f>
        <v>1</v>
      </c>
    </row>
    <row r="101" spans="1:15" ht="30.6" customHeight="1" x14ac:dyDescent="0.25">
      <c r="A101" s="150" t="s">
        <v>539</v>
      </c>
      <c r="B101" s="150" t="s">
        <v>116</v>
      </c>
      <c r="C101" s="150" t="s">
        <v>500</v>
      </c>
      <c r="D101" s="150" t="s">
        <v>500</v>
      </c>
      <c r="E101" s="148">
        <v>50000</v>
      </c>
      <c r="F101" s="148">
        <v>126000</v>
      </c>
      <c r="G101" s="149" t="str">
        <f>CHOOSE(MID(invoice[[#This Row],[تاریخ]],6,2),"فروردین","اردیبهشت","خرداد","تیر","مرداد","شهریور","مهر","آبان","آذر","دی","بهمن","اسفند")</f>
        <v>اردیبهشت</v>
      </c>
      <c r="H101" s="149">
        <f>_xlfn.NUMBERVALUE(MID(invoice[[#This Row],[تاریخ]],1,4))</f>
        <v>1404</v>
      </c>
      <c r="I101" s="149" t="s">
        <v>242</v>
      </c>
      <c r="J101" s="149" t="s">
        <v>505</v>
      </c>
      <c r="K101" s="149" t="s">
        <v>540</v>
      </c>
      <c r="L101" s="149">
        <f>IF(invoice[[#This Row],[سال]]=year,1,0)</f>
        <v>1</v>
      </c>
      <c r="M101" s="148"/>
      <c r="N101" s="149"/>
      <c r="O101" s="198">
        <f>SUMIF(bargiri[شماره پیش فاکتور],invoice[[#This Row],[شماره پیش فاکتور]],bargiri[میزان بارگیری شده])/invoice[[#This Row],[میزان سفارش]]</f>
        <v>1</v>
      </c>
    </row>
    <row r="102" spans="1:15" ht="30.6" customHeight="1" x14ac:dyDescent="0.25">
      <c r="A102" s="150" t="s">
        <v>541</v>
      </c>
      <c r="B102" s="150" t="s">
        <v>98</v>
      </c>
      <c r="C102" s="150" t="s">
        <v>500</v>
      </c>
      <c r="D102" s="150" t="s">
        <v>500</v>
      </c>
      <c r="E102" s="148">
        <v>50000</v>
      </c>
      <c r="F102" s="148">
        <v>151200</v>
      </c>
      <c r="G102" s="149" t="str">
        <f>CHOOSE(MID(invoice[[#This Row],[تاریخ]],6,2),"فروردین","اردیبهشت","خرداد","تیر","مرداد","شهریور","مهر","آبان","آذر","دی","بهمن","اسفند")</f>
        <v>اردیبهشت</v>
      </c>
      <c r="H102" s="149">
        <f>_xlfn.NUMBERVALUE(MID(invoice[[#This Row],[تاریخ]],1,4))</f>
        <v>1404</v>
      </c>
      <c r="I102" s="149" t="s">
        <v>242</v>
      </c>
      <c r="J102" s="149" t="s">
        <v>505</v>
      </c>
      <c r="K102" s="149" t="s">
        <v>540</v>
      </c>
      <c r="L102" s="149">
        <f>IF(invoice[[#This Row],[سال]]=year,1,0)</f>
        <v>1</v>
      </c>
      <c r="M102" s="148"/>
      <c r="N102" s="149"/>
      <c r="O102" s="198">
        <f>SUMIF(bargiri[شماره پیش فاکتور],invoice[[#This Row],[شماره پیش فاکتور]],bargiri[میزان بارگیری شده])/invoice[[#This Row],[میزان سفارش]]</f>
        <v>1</v>
      </c>
    </row>
    <row r="103" spans="1:15" ht="30.6" customHeight="1" x14ac:dyDescent="0.25">
      <c r="A103" s="150" t="s">
        <v>542</v>
      </c>
      <c r="B103" s="150" t="s">
        <v>116</v>
      </c>
      <c r="C103" s="150" t="s">
        <v>535</v>
      </c>
      <c r="D103" s="151" t="s">
        <v>534</v>
      </c>
      <c r="E103" s="148">
        <v>65000</v>
      </c>
      <c r="F103" s="148">
        <v>80000</v>
      </c>
      <c r="G103" s="149" t="str">
        <f>CHOOSE(MID(invoice[[#This Row],[تاریخ]],6,2),"فروردین","اردیبهشت","خرداد","تیر","مرداد","شهریور","مهر","آبان","آذر","دی","بهمن","اسفند")</f>
        <v>اردیبهشت</v>
      </c>
      <c r="H103" s="149">
        <f>_xlfn.NUMBERVALUE(MID(invoice[[#This Row],[تاریخ]],1,4))</f>
        <v>1404</v>
      </c>
      <c r="I103" s="149" t="s">
        <v>240</v>
      </c>
      <c r="J103" s="149" t="s">
        <v>505</v>
      </c>
      <c r="K103" s="149" t="s">
        <v>540</v>
      </c>
      <c r="L103" s="149">
        <f>IF(invoice[[#This Row],[سال]]=year,1,0)</f>
        <v>1</v>
      </c>
      <c r="M103" s="148"/>
      <c r="N103" s="149"/>
      <c r="O103" s="198">
        <f>SUMIF(bargiri[شماره پیش فاکتور],invoice[[#This Row],[شماره پیش فاکتور]],bargiri[میزان بارگیری شده])/invoice[[#This Row],[میزان سفارش]]</f>
        <v>0</v>
      </c>
    </row>
    <row r="104" spans="1:15" ht="30.6" customHeight="1" x14ac:dyDescent="0.25">
      <c r="A104" s="150" t="s">
        <v>543</v>
      </c>
      <c r="B104" s="150" t="s">
        <v>98</v>
      </c>
      <c r="C104" s="150" t="s">
        <v>535</v>
      </c>
      <c r="D104" s="151" t="s">
        <v>534</v>
      </c>
      <c r="E104" s="148">
        <v>102400</v>
      </c>
      <c r="F104" s="148">
        <v>75000</v>
      </c>
      <c r="G104" s="149" t="str">
        <f>CHOOSE(MID(invoice[[#This Row],[تاریخ]],6,2),"فروردین","اردیبهشت","خرداد","تیر","مرداد","شهریور","مهر","آبان","آذر","دی","بهمن","اسفند")</f>
        <v>اردیبهشت</v>
      </c>
      <c r="H104" s="149">
        <f>_xlfn.NUMBERVALUE(MID(invoice[[#This Row],[تاریخ]],1,4))</f>
        <v>1404</v>
      </c>
      <c r="I104" s="149" t="s">
        <v>240</v>
      </c>
      <c r="J104" s="149" t="s">
        <v>505</v>
      </c>
      <c r="K104" s="149" t="s">
        <v>540</v>
      </c>
      <c r="L104" s="149">
        <f>IF(invoice[[#This Row],[سال]]=year,1,0)</f>
        <v>1</v>
      </c>
      <c r="M104" s="148"/>
      <c r="N104" s="149"/>
      <c r="O104" s="198">
        <f>SUMIF(bargiri[شماره پیش فاکتور],invoice[[#This Row],[شماره پیش فاکتور]],bargiri[میزان بارگیری شده])/invoice[[#This Row],[میزان سفارش]]</f>
        <v>0</v>
      </c>
    </row>
    <row r="105" spans="1:15" ht="30.6" customHeight="1" x14ac:dyDescent="0.25">
      <c r="A105" s="150" t="s">
        <v>544</v>
      </c>
      <c r="B105" s="150" t="s">
        <v>121</v>
      </c>
      <c r="C105" s="150" t="s">
        <v>534</v>
      </c>
      <c r="D105" s="151" t="s">
        <v>533</v>
      </c>
      <c r="E105" s="148">
        <v>40000</v>
      </c>
      <c r="F105" s="148">
        <v>151200</v>
      </c>
      <c r="G105" s="149" t="str">
        <f>CHOOSE(MID(invoice[[#This Row],[تاریخ]],6,2),"فروردین","اردیبهشت","خرداد","تیر","مرداد","شهریور","مهر","آبان","آذر","دی","بهمن","اسفند")</f>
        <v>اردیبهشت</v>
      </c>
      <c r="H105" s="149">
        <f>_xlfn.NUMBERVALUE(MID(invoice[[#This Row],[تاریخ]],1,4))</f>
        <v>1404</v>
      </c>
      <c r="I105" s="149" t="s">
        <v>242</v>
      </c>
      <c r="J105" s="149" t="s">
        <v>505</v>
      </c>
      <c r="K105" s="149" t="s">
        <v>540</v>
      </c>
      <c r="L105" s="149">
        <f>IF(invoice[[#This Row],[سال]]=year,1,0)</f>
        <v>1</v>
      </c>
      <c r="M105" s="148"/>
      <c r="N105" s="149"/>
      <c r="O105" s="198">
        <f>SUMIF(bargiri[شماره پیش فاکتور],invoice[[#This Row],[شماره پیش فاکتور]],bargiri[میزان بارگیری شده])/invoice[[#This Row],[میزان سفارش]]</f>
        <v>1</v>
      </c>
    </row>
    <row r="106" spans="1:15" ht="30.6" customHeight="1" x14ac:dyDescent="0.25">
      <c r="A106" s="150" t="s">
        <v>545</v>
      </c>
      <c r="B106" s="150" t="s">
        <v>98</v>
      </c>
      <c r="C106" s="150" t="s">
        <v>534</v>
      </c>
      <c r="D106" s="151" t="s">
        <v>533</v>
      </c>
      <c r="E106" s="148">
        <v>20000</v>
      </c>
      <c r="F106" s="148">
        <v>151200</v>
      </c>
      <c r="G106" s="149" t="str">
        <f>CHOOSE(MID(invoice[[#This Row],[تاریخ]],6,2),"فروردین","اردیبهشت","خرداد","تیر","مرداد","شهریور","مهر","آبان","آذر","دی","بهمن","اسفند")</f>
        <v>اردیبهشت</v>
      </c>
      <c r="H106" s="149">
        <f>_xlfn.NUMBERVALUE(MID(invoice[[#This Row],[تاریخ]],1,4))</f>
        <v>1404</v>
      </c>
      <c r="I106" s="149" t="s">
        <v>242</v>
      </c>
      <c r="J106" s="149" t="s">
        <v>505</v>
      </c>
      <c r="K106" s="149" t="s">
        <v>540</v>
      </c>
      <c r="L106" s="149">
        <f>IF(invoice[[#This Row],[سال]]=year,1,0)</f>
        <v>1</v>
      </c>
      <c r="M106" s="148"/>
      <c r="N106" s="149"/>
      <c r="O106" s="198">
        <f>SUMIF(bargiri[شماره پیش فاکتور],invoice[[#This Row],[شماره پیش فاکتور]],bargiri[میزان بارگیری شده])/invoice[[#This Row],[میزان سفارش]]</f>
        <v>1</v>
      </c>
    </row>
    <row r="107" spans="1:15" ht="30.6" customHeight="1" x14ac:dyDescent="0.25">
      <c r="A107" s="150" t="s">
        <v>546</v>
      </c>
      <c r="B107" s="150" t="s">
        <v>101</v>
      </c>
      <c r="C107" s="150" t="s">
        <v>534</v>
      </c>
      <c r="D107" s="151" t="s">
        <v>533</v>
      </c>
      <c r="E107" s="148">
        <v>40000</v>
      </c>
      <c r="F107" s="148">
        <v>15120</v>
      </c>
      <c r="G107" s="149" t="str">
        <f>CHOOSE(MID(invoice[[#This Row],[تاریخ]],6,2),"فروردین","اردیبهشت","خرداد","تیر","مرداد","شهریور","مهر","آبان","آذر","دی","بهمن","اسفند")</f>
        <v>اردیبهشت</v>
      </c>
      <c r="H107" s="149">
        <f>_xlfn.NUMBERVALUE(MID(invoice[[#This Row],[تاریخ]],1,4))</f>
        <v>1404</v>
      </c>
      <c r="I107" s="149" t="s">
        <v>242</v>
      </c>
      <c r="J107" s="149" t="s">
        <v>505</v>
      </c>
      <c r="K107" s="149" t="s">
        <v>540</v>
      </c>
      <c r="L107" s="149">
        <f>IF(invoice[[#This Row],[سال]]=year,1,0)</f>
        <v>1</v>
      </c>
      <c r="M107" s="148"/>
      <c r="N107" s="149"/>
      <c r="O107" s="198">
        <f>SUMIF(bargiri[شماره پیش فاکتور],invoice[[#This Row],[شماره پیش فاکتور]],bargiri[میزان بارگیری شده])/invoice[[#This Row],[میزان سفارش]]</f>
        <v>0</v>
      </c>
    </row>
    <row r="108" spans="1:15" ht="30.6" customHeight="1" x14ac:dyDescent="0.25">
      <c r="A108" s="150" t="s">
        <v>547</v>
      </c>
      <c r="B108" s="150" t="s">
        <v>121</v>
      </c>
      <c r="C108" s="150" t="s">
        <v>529</v>
      </c>
      <c r="D108" s="151" t="s">
        <v>550</v>
      </c>
      <c r="E108" s="148">
        <v>81920</v>
      </c>
      <c r="F108" s="148">
        <v>75000</v>
      </c>
      <c r="G108" s="149" t="str">
        <f>CHOOSE(MID(invoice[[#This Row],[تاریخ]],6,2),"فروردین","اردیبهشت","خرداد","تیر","مرداد","شهریور","مهر","آبان","آذر","دی","بهمن","اسفند")</f>
        <v>اردیبهشت</v>
      </c>
      <c r="H108" s="149">
        <f>_xlfn.NUMBERVALUE(MID(invoice[[#This Row],[تاریخ]],1,4))</f>
        <v>1404</v>
      </c>
      <c r="I108" s="149" t="s">
        <v>240</v>
      </c>
      <c r="J108" s="149" t="s">
        <v>505</v>
      </c>
      <c r="K108" s="149" t="s">
        <v>540</v>
      </c>
      <c r="L108" s="149">
        <f>IF(invoice[[#This Row],[سال]]=year,1,0)</f>
        <v>1</v>
      </c>
      <c r="M108" s="148"/>
      <c r="N108" s="149"/>
      <c r="O108" s="198">
        <f>SUMIF(bargiri[شماره پیش فاکتور],invoice[[#This Row],[شماره پیش فاکتور]],bargiri[میزان بارگیری شده])/invoice[[#This Row],[میزان سفارش]]</f>
        <v>0</v>
      </c>
    </row>
    <row r="109" spans="1:15" ht="30.6" customHeight="1" x14ac:dyDescent="0.25">
      <c r="A109" s="150" t="s">
        <v>548</v>
      </c>
      <c r="B109" s="150" t="s">
        <v>98</v>
      </c>
      <c r="C109" s="150" t="s">
        <v>529</v>
      </c>
      <c r="D109" s="151" t="s">
        <v>550</v>
      </c>
      <c r="E109" s="148">
        <v>51200</v>
      </c>
      <c r="F109" s="148">
        <v>80000</v>
      </c>
      <c r="G109" s="149" t="str">
        <f>CHOOSE(MID(invoice[[#This Row],[تاریخ]],6,2),"فروردین","اردیبهشت","خرداد","تیر","مرداد","شهریور","مهر","آبان","آذر","دی","بهمن","اسفند")</f>
        <v>اردیبهشت</v>
      </c>
      <c r="H109" s="149">
        <f>_xlfn.NUMBERVALUE(MID(invoice[[#This Row],[تاریخ]],1,4))</f>
        <v>1404</v>
      </c>
      <c r="I109" s="149" t="s">
        <v>240</v>
      </c>
      <c r="J109" s="149" t="s">
        <v>505</v>
      </c>
      <c r="K109" s="149" t="s">
        <v>540</v>
      </c>
      <c r="L109" s="149">
        <f>IF(invoice[[#This Row],[سال]]=year,1,0)</f>
        <v>1</v>
      </c>
      <c r="M109" s="148"/>
      <c r="N109" s="149"/>
      <c r="O109" s="198">
        <f>SUMIF(bargiri[شماره پیش فاکتور],invoice[[#This Row],[شماره پیش فاکتور]],bargiri[میزان بارگیری شده])/invoice[[#This Row],[میزان سفارش]]</f>
        <v>1</v>
      </c>
    </row>
    <row r="110" spans="1:15" ht="30.6" customHeight="1" x14ac:dyDescent="0.25">
      <c r="A110" s="150" t="s">
        <v>549</v>
      </c>
      <c r="B110" s="150" t="s">
        <v>101</v>
      </c>
      <c r="C110" s="150" t="s">
        <v>529</v>
      </c>
      <c r="D110" s="151" t="s">
        <v>550</v>
      </c>
      <c r="E110" s="148">
        <v>81920</v>
      </c>
      <c r="F110" s="148">
        <v>75000</v>
      </c>
      <c r="G110" s="149" t="str">
        <f>CHOOSE(MID(invoice[[#This Row],[تاریخ]],6,2),"فروردین","اردیبهشت","خرداد","تیر","مرداد","شهریور","مهر","آبان","آذر","دی","بهمن","اسفند")</f>
        <v>اردیبهشت</v>
      </c>
      <c r="H110" s="149">
        <f>_xlfn.NUMBERVALUE(MID(invoice[[#This Row],[تاریخ]],1,4))</f>
        <v>1404</v>
      </c>
      <c r="I110" s="149" t="s">
        <v>240</v>
      </c>
      <c r="J110" s="149" t="s">
        <v>505</v>
      </c>
      <c r="K110" s="149" t="s">
        <v>540</v>
      </c>
      <c r="L110" s="149">
        <f>IF(invoice[[#This Row],[سال]]=year,1,0)</f>
        <v>1</v>
      </c>
      <c r="M110" s="148"/>
      <c r="N110" s="149"/>
      <c r="O110" s="198">
        <f>SUMIF(bargiri[شماره پیش فاکتور],invoice[[#This Row],[شماره پیش فاکتور]],bargiri[میزان بارگیری شده])/invoice[[#This Row],[میزان سفارش]]</f>
        <v>0</v>
      </c>
    </row>
    <row r="111" spans="1:15" ht="30.6" customHeight="1" x14ac:dyDescent="0.25">
      <c r="A111" s="150" t="s">
        <v>572</v>
      </c>
      <c r="B111" s="150" t="s">
        <v>116</v>
      </c>
      <c r="C111" s="150" t="s">
        <v>554</v>
      </c>
      <c r="D111" s="150" t="s">
        <v>556</v>
      </c>
      <c r="E111" s="148">
        <v>1000000</v>
      </c>
      <c r="F111" s="148">
        <v>142000</v>
      </c>
      <c r="G111" s="149" t="str">
        <f>CHOOSE(MID(invoice[[#This Row],[تاریخ]],6,2),"فروردین","اردیبهشت","خرداد","تیر","مرداد","شهریور","مهر","آبان","آذر","دی","بهمن","اسفند")</f>
        <v>اردیبهشت</v>
      </c>
      <c r="H111" s="149">
        <f>_xlfn.NUMBERVALUE(MID(invoice[[#This Row],[تاریخ]],1,4))</f>
        <v>1404</v>
      </c>
      <c r="I111" s="149" t="s">
        <v>241</v>
      </c>
      <c r="J111" s="149" t="s">
        <v>505</v>
      </c>
      <c r="K111" s="151">
        <v>46132</v>
      </c>
      <c r="L111" s="149">
        <f>IF(invoice[[#This Row],[سال]]=year,1,0)</f>
        <v>1</v>
      </c>
      <c r="M111" s="148"/>
      <c r="N111" s="149"/>
      <c r="O111" s="198">
        <f>SUMIF(bargiri[شماره پیش فاکتور],invoice[[#This Row],[شماره پیش فاکتور]],bargiri[میزان بارگیری شده])/invoice[[#This Row],[میزان سفارش]]</f>
        <v>0.23399</v>
      </c>
    </row>
    <row r="112" spans="1:15" ht="30.6" customHeight="1" x14ac:dyDescent="0.25">
      <c r="A112" s="150" t="s">
        <v>559</v>
      </c>
      <c r="B112" s="150" t="s">
        <v>105</v>
      </c>
      <c r="C112" s="150" t="s">
        <v>554</v>
      </c>
      <c r="D112" s="151" t="s">
        <v>185</v>
      </c>
      <c r="E112" s="148">
        <v>600000</v>
      </c>
      <c r="F112" s="148">
        <v>142000</v>
      </c>
      <c r="G112" s="149" t="str">
        <f>CHOOSE(MID(invoice[[#This Row],[تاریخ]],6,2),"فروردین","اردیبهشت","خرداد","تیر","مرداد","شهریور","مهر","آبان","آذر","دی","بهمن","اسفند")</f>
        <v>اردیبهشت</v>
      </c>
      <c r="H112" s="149">
        <f>_xlfn.NUMBERVALUE(MID(invoice[[#This Row],[تاریخ]],1,4))</f>
        <v>1404</v>
      </c>
      <c r="I112" s="149" t="s">
        <v>241</v>
      </c>
      <c r="J112" s="149" t="s">
        <v>505</v>
      </c>
      <c r="K112" s="151">
        <v>46132</v>
      </c>
      <c r="L112" s="149">
        <f>IF(invoice[[#This Row],[سال]]=year,1,0)</f>
        <v>1</v>
      </c>
      <c r="M112" s="148"/>
      <c r="N112" s="149"/>
      <c r="O112" s="198">
        <f>SUMIF(bargiri[شماره پیش فاکتور],invoice[[#This Row],[شماره پیش فاکتور]],bargiri[میزان بارگیری شده])/invoice[[#This Row],[میزان سفارش]]</f>
        <v>0</v>
      </c>
    </row>
    <row r="113" spans="1:15" ht="30.6" customHeight="1" x14ac:dyDescent="0.25">
      <c r="A113" s="150" t="s">
        <v>646</v>
      </c>
      <c r="B113" s="150" t="s">
        <v>122</v>
      </c>
      <c r="C113" s="150" t="s">
        <v>553</v>
      </c>
      <c r="D113" s="150" t="s">
        <v>590</v>
      </c>
      <c r="E113" s="148">
        <v>600000</v>
      </c>
      <c r="F113" s="148">
        <v>120000</v>
      </c>
      <c r="G113" s="149" t="str">
        <f>CHOOSE(MID(invoice[[#This Row],[تاریخ]],6,2),"فروردین","اردیبهشت","خرداد","تیر","مرداد","شهریور","مهر","آبان","آذر","دی","بهمن","اسفند")</f>
        <v>اردیبهشت</v>
      </c>
      <c r="H113" s="149">
        <f>_xlfn.NUMBERVALUE(MID(invoice[[#This Row],[تاریخ]],1,4))</f>
        <v>1404</v>
      </c>
      <c r="I113" s="149" t="s">
        <v>243</v>
      </c>
      <c r="J113" s="149" t="s">
        <v>505</v>
      </c>
      <c r="K113" s="151">
        <v>46302</v>
      </c>
      <c r="L113" s="149">
        <f>IF(invoice[[#This Row],[سال]]=year,1,0)</f>
        <v>1</v>
      </c>
      <c r="M113" s="148"/>
      <c r="N113" s="149"/>
      <c r="O113" s="198">
        <f>SUMIF(bargiri[شماره پیش فاکتور],invoice[[#This Row],[شماره پیش فاکتور]],bargiri[میزان بارگیری شده])/invoice[[#This Row],[میزان سفارش]]</f>
        <v>0</v>
      </c>
    </row>
    <row r="114" spans="1:15" ht="30.6" customHeight="1" x14ac:dyDescent="0.25">
      <c r="A114" s="150" t="s">
        <v>647</v>
      </c>
      <c r="B114" s="150" t="s">
        <v>117</v>
      </c>
      <c r="C114" s="150" t="s">
        <v>553</v>
      </c>
      <c r="D114" s="150" t="s">
        <v>590</v>
      </c>
      <c r="E114" s="148">
        <v>350000</v>
      </c>
      <c r="F114" s="148">
        <v>120000</v>
      </c>
      <c r="G114" s="149" t="str">
        <f>CHOOSE(MID(invoice[[#This Row],[تاریخ]],6,2),"فروردین","اردیبهشت","خرداد","تیر","مرداد","شهریور","مهر","آبان","آذر","دی","بهمن","اسفند")</f>
        <v>اردیبهشت</v>
      </c>
      <c r="H114" s="149">
        <f>_xlfn.NUMBERVALUE(MID(invoice[[#This Row],[تاریخ]],1,4))</f>
        <v>1404</v>
      </c>
      <c r="I114" s="149" t="s">
        <v>243</v>
      </c>
      <c r="J114" s="149" t="s">
        <v>505</v>
      </c>
      <c r="K114" s="151">
        <v>46302</v>
      </c>
      <c r="L114" s="149">
        <f>IF(invoice[[#This Row],[سال]]=year,1,0)</f>
        <v>1</v>
      </c>
      <c r="M114" s="148"/>
      <c r="N114" s="149"/>
      <c r="O114" s="198">
        <f>SUMIF(bargiri[شماره پیش فاکتور],invoice[[#This Row],[شماره پیش فاکتور]],bargiri[میزان بارگیری شده])/invoice[[#This Row],[میزان سفارش]]</f>
        <v>0</v>
      </c>
    </row>
    <row r="115" spans="1:15" ht="30.6" customHeight="1" x14ac:dyDescent="0.25">
      <c r="A115" s="150" t="s">
        <v>648</v>
      </c>
      <c r="B115" s="150" t="s">
        <v>121</v>
      </c>
      <c r="C115" s="150" t="s">
        <v>553</v>
      </c>
      <c r="D115" s="150" t="s">
        <v>590</v>
      </c>
      <c r="E115" s="148">
        <v>400000</v>
      </c>
      <c r="F115" s="148">
        <v>120000</v>
      </c>
      <c r="G115" s="149" t="str">
        <f>CHOOSE(MID(invoice[[#This Row],[تاریخ]],6,2),"فروردین","اردیبهشت","خرداد","تیر","مرداد","شهریور","مهر","آبان","آذر","دی","بهمن","اسفند")</f>
        <v>اردیبهشت</v>
      </c>
      <c r="H115" s="149">
        <f>_xlfn.NUMBERVALUE(MID(invoice[[#This Row],[تاریخ]],1,4))</f>
        <v>1404</v>
      </c>
      <c r="I115" s="149" t="s">
        <v>243</v>
      </c>
      <c r="J115" s="149" t="s">
        <v>505</v>
      </c>
      <c r="K115" s="151">
        <v>46302</v>
      </c>
      <c r="L115" s="149">
        <f>IF(invoice[[#This Row],[سال]]=year,1,0)</f>
        <v>1</v>
      </c>
      <c r="M115" s="148"/>
      <c r="N115" s="149"/>
      <c r="O115" s="198">
        <f>SUMIF(bargiri[شماره پیش فاکتور],invoice[[#This Row],[شماره پیش فاکتور]],bargiri[میزان بارگیری شده])/invoice[[#This Row],[میزان سفارش]]</f>
        <v>0</v>
      </c>
    </row>
    <row r="116" spans="1:15" ht="30.6" customHeight="1" x14ac:dyDescent="0.25">
      <c r="A116" s="150" t="s">
        <v>649</v>
      </c>
      <c r="B116" s="150" t="s">
        <v>98</v>
      </c>
      <c r="C116" s="150" t="s">
        <v>553</v>
      </c>
      <c r="D116" s="150" t="s">
        <v>590</v>
      </c>
      <c r="E116" s="148">
        <v>350000</v>
      </c>
      <c r="F116" s="148">
        <v>120000</v>
      </c>
      <c r="G116" s="149" t="str">
        <f>CHOOSE(MID(invoice[[#This Row],[تاریخ]],6,2),"فروردین","اردیبهشت","خرداد","تیر","مرداد","شهریور","مهر","آبان","آذر","دی","بهمن","اسفند")</f>
        <v>اردیبهشت</v>
      </c>
      <c r="H116" s="149">
        <f>_xlfn.NUMBERVALUE(MID(invoice[[#This Row],[تاریخ]],1,4))</f>
        <v>1404</v>
      </c>
      <c r="I116" s="149" t="s">
        <v>243</v>
      </c>
      <c r="J116" s="149" t="s">
        <v>505</v>
      </c>
      <c r="K116" s="151">
        <v>46302</v>
      </c>
      <c r="L116" s="149">
        <f>IF(invoice[[#This Row],[سال]]=year,1,0)</f>
        <v>1</v>
      </c>
      <c r="M116" s="148"/>
      <c r="N116" s="149"/>
      <c r="O116" s="198">
        <f>SUMIF(bargiri[شماره پیش فاکتور],invoice[[#This Row],[شماره پیش فاکتور]],bargiri[میزان بارگیری شده])/invoice[[#This Row],[میزان سفارش]]</f>
        <v>0</v>
      </c>
    </row>
    <row r="117" spans="1:15" ht="30.6" customHeight="1" x14ac:dyDescent="0.25">
      <c r="A117" s="150" t="s">
        <v>650</v>
      </c>
      <c r="B117" s="150" t="s">
        <v>121</v>
      </c>
      <c r="C117" s="150" t="s">
        <v>557</v>
      </c>
      <c r="D117" s="150" t="s">
        <v>556</v>
      </c>
      <c r="E117" s="148">
        <v>50000</v>
      </c>
      <c r="F117" s="148">
        <v>151100</v>
      </c>
      <c r="G117" s="149" t="str">
        <f>CHOOSE(MID(invoice[[#This Row],[تاریخ]],6,2),"فروردین","اردیبهشت","خرداد","تیر","مرداد","شهریور","مهر","آبان","آذر","دی","بهمن","اسفند")</f>
        <v>اردیبهشت</v>
      </c>
      <c r="H117" s="149">
        <f>_xlfn.NUMBERVALUE(MID(invoice[[#This Row],[تاریخ]],1,4))</f>
        <v>1404</v>
      </c>
      <c r="I117" s="149" t="s">
        <v>242</v>
      </c>
      <c r="J117" s="149" t="s">
        <v>505</v>
      </c>
      <c r="K117" s="149" t="s">
        <v>540</v>
      </c>
      <c r="L117" s="149">
        <f>IF(invoice[[#This Row],[سال]]=year,1,0)</f>
        <v>1</v>
      </c>
      <c r="M117" s="148"/>
      <c r="N117" s="149"/>
      <c r="O117" s="198">
        <f>SUMIF(bargiri[شماره پیش فاکتور],invoice[[#This Row],[شماره پیش فاکتور]],bargiri[میزان بارگیری شده])/invoice[[#This Row],[میزان سفارش]]</f>
        <v>1</v>
      </c>
    </row>
    <row r="118" spans="1:15" ht="30.6" customHeight="1" x14ac:dyDescent="0.25">
      <c r="A118" s="150" t="s">
        <v>651</v>
      </c>
      <c r="B118" s="150" t="s">
        <v>98</v>
      </c>
      <c r="C118" s="150" t="s">
        <v>557</v>
      </c>
      <c r="D118" s="150" t="s">
        <v>556</v>
      </c>
      <c r="E118" s="148">
        <v>20000</v>
      </c>
      <c r="F118" s="148">
        <v>151200</v>
      </c>
      <c r="G118" s="149" t="str">
        <f>CHOOSE(MID(invoice[[#This Row],[تاریخ]],6,2),"فروردین","اردیبهشت","خرداد","تیر","مرداد","شهریور","مهر","آبان","آذر","دی","بهمن","اسفند")</f>
        <v>اردیبهشت</v>
      </c>
      <c r="H118" s="149">
        <f>_xlfn.NUMBERVALUE(MID(invoice[[#This Row],[تاریخ]],1,4))</f>
        <v>1404</v>
      </c>
      <c r="I118" s="149" t="s">
        <v>242</v>
      </c>
      <c r="J118" s="149" t="s">
        <v>505</v>
      </c>
      <c r="K118" s="149" t="s">
        <v>540</v>
      </c>
      <c r="L118" s="149">
        <f>IF(invoice[[#This Row],[سال]]=year,1,0)</f>
        <v>1</v>
      </c>
      <c r="M118" s="148"/>
      <c r="N118" s="149"/>
      <c r="O118" s="198">
        <f>SUMIF(bargiri[شماره پیش فاکتور],invoice[[#This Row],[شماره پیش فاکتور]],bargiri[میزان بارگیری شده])/invoice[[#This Row],[میزان سفارش]]</f>
        <v>1</v>
      </c>
    </row>
    <row r="119" spans="1:15" ht="30.6" customHeight="1" x14ac:dyDescent="0.25">
      <c r="A119" s="150" t="s">
        <v>652</v>
      </c>
      <c r="B119" s="150" t="s">
        <v>104</v>
      </c>
      <c r="C119" s="150" t="s">
        <v>557</v>
      </c>
      <c r="D119" s="150" t="s">
        <v>556</v>
      </c>
      <c r="E119" s="148">
        <v>30000</v>
      </c>
      <c r="F119" s="148">
        <v>151100</v>
      </c>
      <c r="G119" s="149" t="str">
        <f>CHOOSE(MID(invoice[[#This Row],[تاریخ]],6,2),"فروردین","اردیبهشت","خرداد","تیر","مرداد","شهریور","مهر","آبان","آذر","دی","بهمن","اسفند")</f>
        <v>اردیبهشت</v>
      </c>
      <c r="H119" s="149">
        <f>_xlfn.NUMBERVALUE(MID(invoice[[#This Row],[تاریخ]],1,4))</f>
        <v>1404</v>
      </c>
      <c r="I119" s="149" t="s">
        <v>242</v>
      </c>
      <c r="J119" s="149" t="s">
        <v>505</v>
      </c>
      <c r="K119" s="149" t="s">
        <v>540</v>
      </c>
      <c r="L119" s="149">
        <f>IF(invoice[[#This Row],[سال]]=year,1,0)</f>
        <v>1</v>
      </c>
      <c r="M119" s="148"/>
      <c r="N119" s="149"/>
      <c r="O119" s="198">
        <f>SUMIF(bargiri[شماره پیش فاکتور],invoice[[#This Row],[شماره پیش فاکتور]],bargiri[میزان بارگیری شده])/invoice[[#This Row],[میزان سفارش]]</f>
        <v>1</v>
      </c>
    </row>
    <row r="120" spans="1:15" ht="30.6" customHeight="1" x14ac:dyDescent="0.25">
      <c r="A120" s="150" t="s">
        <v>587</v>
      </c>
      <c r="B120" s="150" t="s">
        <v>98</v>
      </c>
      <c r="C120" s="150" t="s">
        <v>586</v>
      </c>
      <c r="D120" s="150" t="s">
        <v>582</v>
      </c>
      <c r="E120" s="148">
        <v>50000</v>
      </c>
      <c r="F120" s="148">
        <v>79520</v>
      </c>
      <c r="G120" s="149" t="str">
        <f>CHOOSE(MID(invoice[[#This Row],[تاریخ]],6,2),"فروردین","اردیبهشت","خرداد","تیر","مرداد","شهریور","مهر","آبان","آذر","دی","بهمن","اسفند")</f>
        <v>خرداد</v>
      </c>
      <c r="H120" s="149">
        <f>_xlfn.NUMBERVALUE(MID(invoice[[#This Row],[تاریخ]],1,4))</f>
        <v>1404</v>
      </c>
      <c r="I120" s="149" t="s">
        <v>240</v>
      </c>
      <c r="J120" s="149" t="s">
        <v>505</v>
      </c>
      <c r="K120" s="149" t="s">
        <v>540</v>
      </c>
      <c r="L120" s="149">
        <f>IF(invoice[[#This Row],[سال]]=year,1,0)</f>
        <v>1</v>
      </c>
      <c r="M120" s="148"/>
      <c r="N120" s="149"/>
      <c r="O120" s="198">
        <f>SUMIF(bargiri[شماره پیش فاکتور],invoice[[#This Row],[شماره پیش فاکتور]],bargiri[میزان بارگیری شده])/invoice[[#This Row],[میزان سفارش]]</f>
        <v>0</v>
      </c>
    </row>
    <row r="121" spans="1:15" ht="30.6" customHeight="1" x14ac:dyDescent="0.25">
      <c r="A121" s="150" t="s">
        <v>653</v>
      </c>
      <c r="B121" s="150" t="s">
        <v>104</v>
      </c>
      <c r="C121" s="150" t="s">
        <v>586</v>
      </c>
      <c r="D121" s="150" t="s">
        <v>582</v>
      </c>
      <c r="E121" s="148">
        <v>75000</v>
      </c>
      <c r="F121" s="148">
        <v>79520</v>
      </c>
      <c r="G121" s="149" t="str">
        <f>CHOOSE(MID(invoice[[#This Row],[تاریخ]],6,2),"فروردین","اردیبهشت","خرداد","تیر","مرداد","شهریور","مهر","آبان","آذر","دی","بهمن","اسفند")</f>
        <v>خرداد</v>
      </c>
      <c r="H121" s="149">
        <f>_xlfn.NUMBERVALUE(MID(invoice[[#This Row],[تاریخ]],1,4))</f>
        <v>1404</v>
      </c>
      <c r="I121" s="149" t="s">
        <v>240</v>
      </c>
      <c r="J121" s="149" t="s">
        <v>505</v>
      </c>
      <c r="K121" s="149" t="s">
        <v>540</v>
      </c>
      <c r="L121" s="149">
        <f>IF(invoice[[#This Row],[سال]]=year,1,0)</f>
        <v>1</v>
      </c>
      <c r="M121" s="148"/>
      <c r="N121" s="149"/>
      <c r="O121" s="198">
        <f>SUMIF(bargiri[شماره پیش فاکتور],invoice[[#This Row],[شماره پیش فاکتور]],bargiri[میزان بارگیری شده])/invoice[[#This Row],[میزان سفارش]]</f>
        <v>0</v>
      </c>
    </row>
    <row r="122" spans="1:15" ht="30.6" customHeight="1" x14ac:dyDescent="0.25">
      <c r="A122" s="150" t="s">
        <v>654</v>
      </c>
      <c r="B122" s="150" t="s">
        <v>121</v>
      </c>
      <c r="C122" s="150" t="s">
        <v>586</v>
      </c>
      <c r="D122" s="150" t="s">
        <v>582</v>
      </c>
      <c r="E122" s="148">
        <v>100000</v>
      </c>
      <c r="F122" s="148">
        <v>74450</v>
      </c>
      <c r="G122" s="149" t="str">
        <f>CHOOSE(MID(invoice[[#This Row],[تاریخ]],6,2),"فروردین","اردیبهشت","خرداد","تیر","مرداد","شهریور","مهر","آبان","آذر","دی","بهمن","اسفند")</f>
        <v>خرداد</v>
      </c>
      <c r="H122" s="149">
        <f>_xlfn.NUMBERVALUE(MID(invoice[[#This Row],[تاریخ]],1,4))</f>
        <v>1404</v>
      </c>
      <c r="I122" s="149" t="s">
        <v>240</v>
      </c>
      <c r="J122" s="149" t="s">
        <v>505</v>
      </c>
      <c r="K122" s="149" t="s">
        <v>540</v>
      </c>
      <c r="L122" s="149">
        <f>IF(invoice[[#This Row],[سال]]=year,1,0)</f>
        <v>1</v>
      </c>
      <c r="M122" s="148"/>
      <c r="N122" s="149"/>
      <c r="O122" s="198">
        <f>SUMIF(bargiri[شماره پیش فاکتور],invoice[[#This Row],[شماره پیش فاکتور]],bargiri[میزان بارگیری شده])/invoice[[#This Row],[میزان سفارش]]</f>
        <v>0</v>
      </c>
    </row>
    <row r="123" spans="1:15" ht="30.6" customHeight="1" x14ac:dyDescent="0.25">
      <c r="A123" s="150" t="s">
        <v>616</v>
      </c>
      <c r="B123" s="150" t="s">
        <v>116</v>
      </c>
      <c r="C123" s="150" t="s">
        <v>609</v>
      </c>
      <c r="D123" s="150" t="s">
        <v>604</v>
      </c>
      <c r="E123" s="148">
        <v>857945</v>
      </c>
      <c r="F123" s="148">
        <v>95000</v>
      </c>
      <c r="G123" s="149" t="str">
        <f>CHOOSE(MID(invoice[[#This Row],[تاریخ]],6,2),"فروردین","اردیبهشت","خرداد","تیر","مرداد","شهریور","مهر","آبان","آذر","دی","بهمن","اسفند")</f>
        <v>خرداد</v>
      </c>
      <c r="H123" s="149">
        <f>_xlfn.NUMBERVALUE(MID(invoice[[#This Row],[تاریخ]],1,4))</f>
        <v>1404</v>
      </c>
      <c r="I123" s="149" t="s">
        <v>243</v>
      </c>
      <c r="J123" s="149" t="s">
        <v>505</v>
      </c>
      <c r="K123" s="151">
        <v>46132</v>
      </c>
      <c r="L123" s="149">
        <f>IF(invoice[[#This Row],[سال]]=year,1,0)</f>
        <v>1</v>
      </c>
      <c r="M123" s="148"/>
      <c r="N123" s="149"/>
      <c r="O123" s="198">
        <f>SUMIF(bargiri[شماره پیش فاکتور],invoice[[#This Row],[شماره پیش فاکتور]],bargiri[میزان بارگیری شده])/invoice[[#This Row],[میزان سفارش]]</f>
        <v>0.31633146646929583</v>
      </c>
    </row>
    <row r="124" spans="1:15" ht="30.6" customHeight="1" x14ac:dyDescent="0.25">
      <c r="A124" s="150" t="s">
        <v>655</v>
      </c>
      <c r="B124" s="150" t="s">
        <v>116</v>
      </c>
      <c r="C124" s="150" t="s">
        <v>610</v>
      </c>
      <c r="D124" s="150" t="s">
        <v>610</v>
      </c>
      <c r="E124" s="148">
        <v>40000</v>
      </c>
      <c r="F124" s="148">
        <v>83000</v>
      </c>
      <c r="G124" s="149" t="str">
        <f>CHOOSE(MID(invoice[[#This Row],[تاریخ]],6,2),"فروردین","اردیبهشت","خرداد","تیر","مرداد","شهریور","مهر","آبان","آذر","دی","بهمن","اسفند")</f>
        <v>خرداد</v>
      </c>
      <c r="H124" s="149">
        <f>_xlfn.NUMBERVALUE(MID(invoice[[#This Row],[تاریخ]],1,4))</f>
        <v>1404</v>
      </c>
      <c r="I124" s="149" t="s">
        <v>240</v>
      </c>
      <c r="J124" s="149" t="s">
        <v>505</v>
      </c>
      <c r="K124" s="151">
        <v>46101</v>
      </c>
      <c r="L124" s="149">
        <f>IF(invoice[[#This Row],[سال]]=year,1,0)</f>
        <v>1</v>
      </c>
      <c r="M124" s="148"/>
      <c r="N124" s="149"/>
      <c r="O124" s="198">
        <f>SUMIF(bargiri[شماره پیش فاکتور],invoice[[#This Row],[شماره پیش فاکتور]],bargiri[میزان بارگیری شده])/invoice[[#This Row],[میزان سفارش]]</f>
        <v>0</v>
      </c>
    </row>
    <row r="125" spans="1:15" ht="30.6" customHeight="1" x14ac:dyDescent="0.25">
      <c r="A125" s="150" t="s">
        <v>656</v>
      </c>
      <c r="B125" s="150" t="s">
        <v>116</v>
      </c>
      <c r="C125" s="150" t="s">
        <v>597</v>
      </c>
      <c r="D125" s="150" t="s">
        <v>597</v>
      </c>
      <c r="E125" s="148">
        <v>40000</v>
      </c>
      <c r="F125" s="148">
        <v>201000</v>
      </c>
      <c r="G125" s="149" t="str">
        <f>CHOOSE(MID(invoice[[#This Row],[تاریخ]],6,2),"فروردین","اردیبهشت","خرداد","تیر","مرداد","شهریور","مهر","آبان","آذر","دی","بهمن","اسفند")</f>
        <v>خرداد</v>
      </c>
      <c r="H125" s="149">
        <f>_xlfn.NUMBERVALUE(MID(invoice[[#This Row],[تاریخ]],1,4))</f>
        <v>1404</v>
      </c>
      <c r="I125" s="149" t="s">
        <v>242</v>
      </c>
      <c r="J125" s="149" t="s">
        <v>505</v>
      </c>
      <c r="K125" s="151">
        <v>46101</v>
      </c>
      <c r="L125" s="149">
        <f>IF(invoice[[#This Row],[سال]]=year,1,0)</f>
        <v>1</v>
      </c>
      <c r="M125" s="148"/>
      <c r="N125" s="149"/>
      <c r="O125" s="198">
        <f>SUMIF(bargiri[شماره پیش فاکتور],invoice[[#This Row],[شماره پیش فاکتور]],bargiri[میزان بارگیری شده])/invoice[[#This Row],[میزان سفارش]]</f>
        <v>0</v>
      </c>
    </row>
    <row r="126" spans="1:15" ht="30.6" customHeight="1" x14ac:dyDescent="0.25">
      <c r="A126" s="150" t="s">
        <v>657</v>
      </c>
      <c r="B126" s="150" t="s">
        <v>104</v>
      </c>
      <c r="C126" s="150" t="s">
        <v>610</v>
      </c>
      <c r="D126" s="150" t="s">
        <v>610</v>
      </c>
      <c r="E126" s="148">
        <v>20000</v>
      </c>
      <c r="F126" s="148">
        <v>83000</v>
      </c>
      <c r="G126" s="149" t="str">
        <f>CHOOSE(MID(invoice[[#This Row],[تاریخ]],6,2),"فروردین","اردیبهشت","خرداد","تیر","مرداد","شهریور","مهر","آبان","آذر","دی","بهمن","اسفند")</f>
        <v>خرداد</v>
      </c>
      <c r="H126" s="149">
        <f>_xlfn.NUMBERVALUE(MID(invoice[[#This Row],[تاریخ]],1,4))</f>
        <v>1404</v>
      </c>
      <c r="I126" s="149" t="s">
        <v>240</v>
      </c>
      <c r="J126" s="149" t="s">
        <v>505</v>
      </c>
      <c r="K126" s="149" t="s">
        <v>540</v>
      </c>
      <c r="L126" s="149">
        <f>IF(invoice[[#This Row],[سال]]=year,1,0)</f>
        <v>1</v>
      </c>
      <c r="M126" s="148"/>
      <c r="N126" s="149"/>
      <c r="O126" s="198">
        <f>SUMIF(bargiri[شماره پیش فاکتور],invoice[[#This Row],[شماره پیش فاکتور]],bargiri[میزان بارگیری شده])/invoice[[#This Row],[میزان سفارش]]</f>
        <v>0</v>
      </c>
    </row>
    <row r="127" spans="1:15" ht="30.6" customHeight="1" x14ac:dyDescent="0.25">
      <c r="A127" s="150" t="s">
        <v>658</v>
      </c>
      <c r="B127" s="150" t="s">
        <v>104</v>
      </c>
      <c r="C127" s="150" t="s">
        <v>597</v>
      </c>
      <c r="D127" s="150" t="s">
        <v>597</v>
      </c>
      <c r="E127" s="148">
        <v>20000</v>
      </c>
      <c r="F127" s="148">
        <v>201000</v>
      </c>
      <c r="G127" s="149" t="str">
        <f>CHOOSE(MID(invoice[[#This Row],[تاریخ]],6,2),"فروردین","اردیبهشت","خرداد","تیر","مرداد","شهریور","مهر","آبان","آذر","دی","بهمن","اسفند")</f>
        <v>خرداد</v>
      </c>
      <c r="H127" s="149">
        <f>_xlfn.NUMBERVALUE(MID(invoice[[#This Row],[تاریخ]],1,4))</f>
        <v>1404</v>
      </c>
      <c r="I127" s="149" t="s">
        <v>242</v>
      </c>
      <c r="J127" s="149" t="s">
        <v>505</v>
      </c>
      <c r="K127" s="149" t="s">
        <v>540</v>
      </c>
      <c r="L127" s="149">
        <f>IF(invoice[[#This Row],[سال]]=year,1,0)</f>
        <v>1</v>
      </c>
      <c r="M127" s="148"/>
      <c r="N127" s="149"/>
      <c r="O127" s="198">
        <f>SUMIF(bargiri[شماره پیش فاکتور],invoice[[#This Row],[شماره پیش فاکتور]],bargiri[میزان بارگیری شده])/invoice[[#This Row],[میزان سفارش]]</f>
        <v>1</v>
      </c>
    </row>
    <row r="128" spans="1:15" ht="30.6" customHeight="1" x14ac:dyDescent="0.25">
      <c r="A128" s="150" t="s">
        <v>659</v>
      </c>
      <c r="B128" s="150" t="s">
        <v>117</v>
      </c>
      <c r="C128" s="150" t="s">
        <v>610</v>
      </c>
      <c r="D128" s="150" t="s">
        <v>610</v>
      </c>
      <c r="E128" s="148">
        <v>30000</v>
      </c>
      <c r="F128" s="148">
        <v>83000</v>
      </c>
      <c r="G128" s="149" t="str">
        <f>CHOOSE(MID(invoice[[#This Row],[تاریخ]],6,2),"فروردین","اردیبهشت","خرداد","تیر","مرداد","شهریور","مهر","آبان","آذر","دی","بهمن","اسفند")</f>
        <v>خرداد</v>
      </c>
      <c r="H128" s="149">
        <f>_xlfn.NUMBERVALUE(MID(invoice[[#This Row],[تاریخ]],1,4))</f>
        <v>1404</v>
      </c>
      <c r="I128" s="149" t="s">
        <v>240</v>
      </c>
      <c r="J128" s="149" t="s">
        <v>505</v>
      </c>
      <c r="K128" s="151">
        <v>46101</v>
      </c>
      <c r="L128" s="149">
        <f>IF(invoice[[#This Row],[سال]]=year,1,0)</f>
        <v>1</v>
      </c>
      <c r="M128" s="148"/>
      <c r="N128" s="149"/>
      <c r="O128" s="198">
        <f>SUMIF(bargiri[شماره پیش فاکتور],invoice[[#This Row],[شماره پیش فاکتور]],bargiri[میزان بارگیری شده])/invoice[[#This Row],[میزان سفارش]]</f>
        <v>0</v>
      </c>
    </row>
    <row r="129" spans="1:15" ht="30.6" customHeight="1" x14ac:dyDescent="0.25">
      <c r="A129" s="150" t="s">
        <v>660</v>
      </c>
      <c r="B129" s="150" t="s">
        <v>117</v>
      </c>
      <c r="C129" s="150" t="s">
        <v>597</v>
      </c>
      <c r="D129" s="150" t="s">
        <v>597</v>
      </c>
      <c r="E129" s="148">
        <v>30000</v>
      </c>
      <c r="F129" s="148">
        <v>201000</v>
      </c>
      <c r="G129" s="149" t="str">
        <f>CHOOSE(MID(invoice[[#This Row],[تاریخ]],6,2),"فروردین","اردیبهشت","خرداد","تیر","مرداد","شهریور","مهر","آبان","آذر","دی","بهمن","اسفند")</f>
        <v>خرداد</v>
      </c>
      <c r="H129" s="149">
        <f>_xlfn.NUMBERVALUE(MID(invoice[[#This Row],[تاریخ]],1,4))</f>
        <v>1404</v>
      </c>
      <c r="I129" s="149" t="s">
        <v>242</v>
      </c>
      <c r="J129" s="149" t="s">
        <v>505</v>
      </c>
      <c r="K129" s="151">
        <v>46101</v>
      </c>
      <c r="L129" s="149">
        <f>IF(invoice[[#This Row],[سال]]=year,1,0)</f>
        <v>1</v>
      </c>
      <c r="M129" s="148"/>
      <c r="N129" s="149"/>
      <c r="O129" s="198">
        <f>SUMIF(bargiri[شماره پیش فاکتور],invoice[[#This Row],[شماره پیش فاکتور]],bargiri[میزان بارگیری شده])/invoice[[#This Row],[میزان سفارش]]</f>
        <v>1</v>
      </c>
    </row>
    <row r="130" spans="1:15" ht="30.6" customHeight="1" x14ac:dyDescent="0.25">
      <c r="A130" s="150" t="s">
        <v>717</v>
      </c>
      <c r="B130" s="150" t="s">
        <v>108</v>
      </c>
      <c r="C130" s="150" t="s">
        <v>597</v>
      </c>
      <c r="D130" s="150" t="s">
        <v>597</v>
      </c>
      <c r="E130" s="148">
        <v>20000</v>
      </c>
      <c r="F130" s="148">
        <v>201000</v>
      </c>
      <c r="G130" s="149" t="str">
        <f>CHOOSE(MID(invoice[[#This Row],[تاریخ]],6,2),"فروردین","اردیبهشت","خرداد","تیر","مرداد","شهریور","مهر","آبان","آذر","دی","بهمن","اسفند")</f>
        <v>خرداد</v>
      </c>
      <c r="H130" s="149">
        <f>_xlfn.NUMBERVALUE(MID(invoice[[#This Row],[تاریخ]],1,4))</f>
        <v>1404</v>
      </c>
      <c r="I130" s="149" t="s">
        <v>242</v>
      </c>
      <c r="J130" s="149" t="s">
        <v>765</v>
      </c>
      <c r="K130" s="151">
        <v>46101</v>
      </c>
      <c r="L130" s="149">
        <f>IF(invoice[[#This Row],[سال]]=year,1,0)</f>
        <v>1</v>
      </c>
      <c r="M130" s="148"/>
      <c r="N130" s="149"/>
      <c r="O130" s="198">
        <f>SUMIF(bargiri[شماره پیش فاکتور],invoice[[#This Row],[شماره پیش فاکتور]],bargiri[میزان بارگیری شده])/invoice[[#This Row],[میزان سفارش]]</f>
        <v>1.00725</v>
      </c>
    </row>
    <row r="131" spans="1:15" ht="30.6" customHeight="1" x14ac:dyDescent="0.25">
      <c r="A131" s="150" t="s">
        <v>629</v>
      </c>
      <c r="B131" s="150" t="s">
        <v>116</v>
      </c>
      <c r="C131" s="150" t="s">
        <v>619</v>
      </c>
      <c r="D131" s="150" t="s">
        <v>618</v>
      </c>
      <c r="E131" s="148">
        <v>50000</v>
      </c>
      <c r="F131" s="148">
        <v>167500</v>
      </c>
      <c r="G131" s="149" t="str">
        <f>CHOOSE(MID(invoice[[#This Row],[تاریخ]],6,2),"فروردین","اردیبهشت","خرداد","تیر","مرداد","شهریور","مهر","آبان","آذر","دی","بهمن","اسفند")</f>
        <v>تیر</v>
      </c>
      <c r="H131" s="149">
        <f>_xlfn.NUMBERVALUE(MID(invoice[[#This Row],[تاریخ]],1,4))</f>
        <v>1404</v>
      </c>
      <c r="I131" s="149" t="s">
        <v>242</v>
      </c>
      <c r="J131" s="149" t="s">
        <v>505</v>
      </c>
      <c r="K131" s="151">
        <v>46101</v>
      </c>
      <c r="L131" s="149">
        <f>IF(invoice[[#This Row],[سال]]=year,1,0)</f>
        <v>1</v>
      </c>
      <c r="M131" s="148"/>
      <c r="N131" s="149"/>
      <c r="O131" s="198">
        <f>SUMIF(bargiri[شماره پیش فاکتور],invoice[[#This Row],[شماره پیش فاکتور]],bargiri[میزان بارگیری شده])/invoice[[#This Row],[میزان سفارش]]</f>
        <v>0</v>
      </c>
    </row>
    <row r="132" spans="1:15" ht="30.6" customHeight="1" x14ac:dyDescent="0.25">
      <c r="A132" s="150" t="s">
        <v>630</v>
      </c>
      <c r="B132" s="150" t="s">
        <v>101</v>
      </c>
      <c r="C132" s="150" t="s">
        <v>619</v>
      </c>
      <c r="D132" s="150" t="s">
        <v>618</v>
      </c>
      <c r="E132" s="148">
        <v>20000</v>
      </c>
      <c r="F132" s="148">
        <v>167500</v>
      </c>
      <c r="G132" s="149" t="str">
        <f>CHOOSE(MID(invoice[[#This Row],[تاریخ]],6,2),"فروردین","اردیبهشت","خرداد","تیر","مرداد","شهریور","مهر","آبان","آذر","دی","بهمن","اسفند")</f>
        <v>تیر</v>
      </c>
      <c r="H132" s="149">
        <f>_xlfn.NUMBERVALUE(MID(invoice[[#This Row],[تاریخ]],1,4))</f>
        <v>1404</v>
      </c>
      <c r="I132" s="149" t="s">
        <v>242</v>
      </c>
      <c r="J132" s="149" t="s">
        <v>505</v>
      </c>
      <c r="K132" s="151">
        <v>46101</v>
      </c>
      <c r="L132" s="149">
        <f>IF(invoice[[#This Row],[سال]]=year,1,0)</f>
        <v>1</v>
      </c>
      <c r="M132" s="148"/>
      <c r="N132" s="149"/>
      <c r="O132" s="198">
        <f>SUMIF(bargiri[شماره پیش فاکتور],invoice[[#This Row],[شماره پیش فاکتور]],bargiri[میزان بارگیری شده])/invoice[[#This Row],[میزان سفارش]]</f>
        <v>0</v>
      </c>
    </row>
    <row r="133" spans="1:15" ht="30.6" customHeight="1" x14ac:dyDescent="0.25">
      <c r="A133" s="150" t="s">
        <v>631</v>
      </c>
      <c r="B133" s="150" t="s">
        <v>98</v>
      </c>
      <c r="C133" s="150" t="s">
        <v>619</v>
      </c>
      <c r="D133" s="150" t="s">
        <v>618</v>
      </c>
      <c r="E133" s="148">
        <v>30000</v>
      </c>
      <c r="F133" s="148">
        <v>167500</v>
      </c>
      <c r="G133" s="149" t="str">
        <f>CHOOSE(MID(invoice[[#This Row],[تاریخ]],6,2),"فروردین","اردیبهشت","خرداد","تیر","مرداد","شهریور","مهر","آبان","آذر","دی","بهمن","اسفند")</f>
        <v>تیر</v>
      </c>
      <c r="H133" s="149">
        <f>_xlfn.NUMBERVALUE(MID(invoice[[#This Row],[تاریخ]],1,4))</f>
        <v>1404</v>
      </c>
      <c r="I133" s="149" t="s">
        <v>242</v>
      </c>
      <c r="J133" s="149" t="s">
        <v>505</v>
      </c>
      <c r="K133" s="151">
        <v>46101</v>
      </c>
      <c r="L133" s="149">
        <f>IF(invoice[[#This Row],[سال]]=year,1,0)</f>
        <v>1</v>
      </c>
      <c r="M133" s="148"/>
      <c r="N133" s="149"/>
      <c r="O133" s="198">
        <f>SUMIF(bargiri[شماره پیش فاکتور],invoice[[#This Row],[شماره پیش فاکتور]],bargiri[میزان بارگیری شده])/invoice[[#This Row],[میزان سفارش]]</f>
        <v>1</v>
      </c>
    </row>
    <row r="134" spans="1:15" ht="30.6" customHeight="1" x14ac:dyDescent="0.25">
      <c r="A134" s="150" t="s">
        <v>661</v>
      </c>
      <c r="B134" s="150" t="s">
        <v>116</v>
      </c>
      <c r="C134" s="150" t="s">
        <v>662</v>
      </c>
      <c r="D134" s="150" t="s">
        <v>663</v>
      </c>
      <c r="E134" s="148">
        <v>50000</v>
      </c>
      <c r="F134" s="148">
        <v>116500</v>
      </c>
      <c r="G134" s="149" t="str">
        <f>CHOOSE(MID(invoice[[#This Row],[تاریخ]],6,2),"فروردین","اردیبهشت","خرداد","تیر","مرداد","شهریور","مهر","آبان","آذر","دی","بهمن","اسفند")</f>
        <v>تیر</v>
      </c>
      <c r="H134" s="149">
        <f>_xlfn.NUMBERVALUE(MID(invoice[[#This Row],[تاریخ]],1,4))</f>
        <v>1404</v>
      </c>
      <c r="I134" s="149" t="s">
        <v>240</v>
      </c>
      <c r="J134" s="149" t="s">
        <v>505</v>
      </c>
      <c r="K134" s="151">
        <v>46101</v>
      </c>
      <c r="L134" s="149">
        <f>IF(invoice[[#This Row],[سال]]=year,1,0)</f>
        <v>1</v>
      </c>
      <c r="M134" s="148"/>
      <c r="N134" s="149"/>
      <c r="O134" s="198">
        <f>SUMIF(bargiri[شماره پیش فاکتور],invoice[[#This Row],[شماره پیش فاکتور]],bargiri[میزان بارگیری شده])/invoice[[#This Row],[میزان سفارش]]</f>
        <v>0</v>
      </c>
    </row>
    <row r="135" spans="1:15" ht="30.6" customHeight="1" x14ac:dyDescent="0.25">
      <c r="A135" s="150" t="s">
        <v>664</v>
      </c>
      <c r="B135" s="150" t="s">
        <v>101</v>
      </c>
      <c r="C135" s="150" t="s">
        <v>662</v>
      </c>
      <c r="D135" s="150" t="s">
        <v>663</v>
      </c>
      <c r="E135" s="148">
        <v>20000</v>
      </c>
      <c r="F135" s="148">
        <v>116500</v>
      </c>
      <c r="G135" s="149" t="str">
        <f>CHOOSE(MID(invoice[[#This Row],[تاریخ]],6,2),"فروردین","اردیبهشت","خرداد","تیر","مرداد","شهریور","مهر","آبان","آذر","دی","بهمن","اسفند")</f>
        <v>تیر</v>
      </c>
      <c r="H135" s="149">
        <f>_xlfn.NUMBERVALUE(MID(invoice[[#This Row],[تاریخ]],1,4))</f>
        <v>1404</v>
      </c>
      <c r="I135" s="149" t="s">
        <v>240</v>
      </c>
      <c r="J135" s="149" t="s">
        <v>505</v>
      </c>
      <c r="K135" s="151">
        <v>46101</v>
      </c>
      <c r="L135" s="149">
        <f>IF(invoice[[#This Row],[سال]]=year,1,0)</f>
        <v>1</v>
      </c>
      <c r="M135" s="148"/>
      <c r="N135" s="149"/>
      <c r="O135" s="198">
        <f>SUMIF(bargiri[شماره پیش فاکتور],invoice[[#This Row],[شماره پیش فاکتور]],bargiri[میزان بارگیری شده])/invoice[[#This Row],[میزان سفارش]]</f>
        <v>0</v>
      </c>
    </row>
    <row r="136" spans="1:15" ht="30.6" customHeight="1" x14ac:dyDescent="0.25">
      <c r="A136" s="150" t="s">
        <v>665</v>
      </c>
      <c r="B136" s="150" t="s">
        <v>98</v>
      </c>
      <c r="C136" s="150" t="s">
        <v>662</v>
      </c>
      <c r="D136" s="150" t="s">
        <v>663</v>
      </c>
      <c r="E136" s="148">
        <v>30000</v>
      </c>
      <c r="F136" s="148">
        <v>116500</v>
      </c>
      <c r="G136" s="149" t="str">
        <f>CHOOSE(MID(invoice[[#This Row],[تاریخ]],6,2),"فروردین","اردیبهشت","خرداد","تیر","مرداد","شهریور","مهر","آبان","آذر","دی","بهمن","اسفند")</f>
        <v>تیر</v>
      </c>
      <c r="H136" s="149">
        <f>_xlfn.NUMBERVALUE(MID(invoice[[#This Row],[تاریخ]],1,4))</f>
        <v>1404</v>
      </c>
      <c r="I136" s="149" t="s">
        <v>240</v>
      </c>
      <c r="J136" s="149" t="s">
        <v>505</v>
      </c>
      <c r="K136" s="151">
        <v>46101</v>
      </c>
      <c r="L136" s="149">
        <f>IF(invoice[[#This Row],[سال]]=year,1,0)</f>
        <v>1</v>
      </c>
      <c r="M136" s="148"/>
      <c r="N136" s="149"/>
      <c r="O136" s="198">
        <f>SUMIF(bargiri[شماره پیش فاکتور],invoice[[#This Row],[شماره پیش فاکتور]],bargiri[میزان بارگیری شده])/invoice[[#This Row],[میزان سفارش]]</f>
        <v>0</v>
      </c>
    </row>
    <row r="137" spans="1:15" ht="30.6" customHeight="1" x14ac:dyDescent="0.25">
      <c r="A137" s="233" t="s">
        <v>721</v>
      </c>
      <c r="B137" s="150" t="s">
        <v>104</v>
      </c>
      <c r="C137" s="150" t="s">
        <v>671</v>
      </c>
      <c r="D137" s="150" t="s">
        <v>671</v>
      </c>
      <c r="E137" s="234">
        <v>40000</v>
      </c>
      <c r="F137" s="148">
        <v>167500</v>
      </c>
      <c r="G137" s="149" t="str">
        <f>CHOOSE(MID(invoice[[#This Row],[تاریخ]],6,2),"فروردین","اردیبهشت","خرداد","تیر","مرداد","شهریور","مهر","آبان","آذر","دی","بهمن","اسفند")</f>
        <v>تیر</v>
      </c>
      <c r="H137" s="149">
        <f>_xlfn.NUMBERVALUE(MID(invoice[[#This Row],[تاریخ]],1,4))</f>
        <v>1404</v>
      </c>
      <c r="I137" s="149" t="s">
        <v>242</v>
      </c>
      <c r="J137" s="149" t="s">
        <v>505</v>
      </c>
      <c r="K137" s="151">
        <v>46101</v>
      </c>
      <c r="L137" s="149">
        <f>IF(invoice[[#This Row],[سال]]=year,1,0)</f>
        <v>1</v>
      </c>
      <c r="M137" s="148"/>
      <c r="N137" s="149"/>
      <c r="O137" s="235">
        <f>SUMIF(bargiri[شماره پیش فاکتور],invoice[[#This Row],[شماره پیش فاکتور]],bargiri[میزان بارگیری شده])/invoice[[#This Row],[میزان سفارش]]</f>
        <v>0</v>
      </c>
    </row>
    <row r="138" spans="1:15" ht="30.6" customHeight="1" x14ac:dyDescent="0.25">
      <c r="A138" s="233" t="s">
        <v>722</v>
      </c>
      <c r="B138" s="233" t="s">
        <v>117</v>
      </c>
      <c r="C138" s="150" t="s">
        <v>671</v>
      </c>
      <c r="D138" s="150" t="s">
        <v>671</v>
      </c>
      <c r="E138" s="234">
        <v>60000</v>
      </c>
      <c r="F138" s="148">
        <v>167500</v>
      </c>
      <c r="G138" s="149" t="str">
        <f>CHOOSE(MID(invoice[[#This Row],[تاریخ]],6,2),"فروردین","اردیبهشت","خرداد","تیر","مرداد","شهریور","مهر","آبان","آذر","دی","بهمن","اسفند")</f>
        <v>تیر</v>
      </c>
      <c r="H138" s="149">
        <f>_xlfn.NUMBERVALUE(MID(invoice[[#This Row],[تاریخ]],1,4))</f>
        <v>1404</v>
      </c>
      <c r="I138" s="149" t="s">
        <v>242</v>
      </c>
      <c r="J138" s="149" t="s">
        <v>505</v>
      </c>
      <c r="K138" s="151">
        <v>46101</v>
      </c>
      <c r="L138" s="149">
        <f>IF(invoice[[#This Row],[سال]]=year,1,0)</f>
        <v>1</v>
      </c>
      <c r="M138" s="148"/>
      <c r="N138" s="149"/>
      <c r="O138" s="235">
        <f>SUMIF(bargiri[شماره پیش فاکتور],invoice[[#This Row],[شماره پیش فاکتور]],bargiri[میزان بارگیری شده])/invoice[[#This Row],[میزان سفارش]]</f>
        <v>1</v>
      </c>
    </row>
    <row r="139" spans="1:15" ht="30.6" customHeight="1" x14ac:dyDescent="0.25">
      <c r="A139" s="233" t="s">
        <v>723</v>
      </c>
      <c r="B139" s="150" t="s">
        <v>104</v>
      </c>
      <c r="C139" s="150" t="s">
        <v>642</v>
      </c>
      <c r="D139" s="150" t="s">
        <v>726</v>
      </c>
      <c r="E139" s="234">
        <v>40000</v>
      </c>
      <c r="F139" s="148">
        <v>116500</v>
      </c>
      <c r="G139" s="149" t="str">
        <f>CHOOSE(MID(invoice[[#This Row],[تاریخ]],6,2),"فروردین","اردیبهشت","خرداد","تیر","مرداد","شهریور","مهر","آبان","آذر","دی","بهمن","اسفند")</f>
        <v>تیر</v>
      </c>
      <c r="H139" s="149">
        <f>_xlfn.NUMBERVALUE(MID(invoice[[#This Row],[تاریخ]],1,4))</f>
        <v>1404</v>
      </c>
      <c r="I139" s="149" t="s">
        <v>240</v>
      </c>
      <c r="J139" s="149" t="s">
        <v>505</v>
      </c>
      <c r="K139" s="151">
        <v>46101</v>
      </c>
      <c r="L139" s="149">
        <f>IF(invoice[[#This Row],[سال]]=year,1,0)</f>
        <v>1</v>
      </c>
      <c r="M139" s="148"/>
      <c r="N139" s="149"/>
      <c r="O139" s="235">
        <f>SUMIF(bargiri[شماره پیش فاکتور],invoice[[#This Row],[شماره پیش فاکتور]],bargiri[میزان بارگیری شده])/invoice[[#This Row],[میزان سفارش]]</f>
        <v>0</v>
      </c>
    </row>
    <row r="140" spans="1:15" ht="30.6" customHeight="1" x14ac:dyDescent="0.25">
      <c r="A140" s="233" t="s">
        <v>724</v>
      </c>
      <c r="B140" s="233" t="s">
        <v>117</v>
      </c>
      <c r="C140" s="150" t="s">
        <v>642</v>
      </c>
      <c r="D140" s="150" t="s">
        <v>726</v>
      </c>
      <c r="E140" s="234">
        <v>60000</v>
      </c>
      <c r="F140" s="148">
        <v>116500</v>
      </c>
      <c r="G140" s="149" t="str">
        <f>CHOOSE(MID(invoice[[#This Row],[تاریخ]],6,2),"فروردین","اردیبهشت","خرداد","تیر","مرداد","شهریور","مهر","آبان","آذر","دی","بهمن","اسفند")</f>
        <v>تیر</v>
      </c>
      <c r="H140" s="149">
        <f>_xlfn.NUMBERVALUE(MID(invoice[[#This Row],[تاریخ]],1,4))</f>
        <v>1404</v>
      </c>
      <c r="I140" s="149" t="s">
        <v>240</v>
      </c>
      <c r="J140" s="149" t="s">
        <v>505</v>
      </c>
      <c r="K140" s="151">
        <v>46101</v>
      </c>
      <c r="L140" s="149">
        <f>IF(invoice[[#This Row],[سال]]=year,1,0)</f>
        <v>1</v>
      </c>
      <c r="M140" s="148"/>
      <c r="N140" s="149"/>
      <c r="O140" s="235">
        <f>SUMIF(bargiri[شماره پیش فاکتور],invoice[[#This Row],[شماره پیش فاکتور]],bargiri[میزان بارگیری شده])/invoice[[#This Row],[میزان سفارش]]</f>
        <v>0</v>
      </c>
    </row>
    <row r="141" spans="1:15" ht="30.6" customHeight="1" x14ac:dyDescent="0.25">
      <c r="A141" s="233" t="s">
        <v>730</v>
      </c>
      <c r="B141" s="150" t="s">
        <v>116</v>
      </c>
      <c r="C141" s="150" t="s">
        <v>728</v>
      </c>
      <c r="D141" s="150" t="s">
        <v>728</v>
      </c>
      <c r="E141" s="148">
        <v>20000</v>
      </c>
      <c r="F141" s="148">
        <v>167500</v>
      </c>
      <c r="G141" s="149" t="str">
        <f>CHOOSE(MID(invoice[[#This Row],[تاریخ]],6,2),"فروردین","اردیبهشت","خرداد","تیر","مرداد","شهریور","مهر","آبان","آذر","دی","بهمن","اسفند")</f>
        <v>تیر</v>
      </c>
      <c r="H141" s="149">
        <f>_xlfn.NUMBERVALUE(MID(invoice[[#This Row],[تاریخ]],1,4))</f>
        <v>1404</v>
      </c>
      <c r="I141" s="149" t="s">
        <v>242</v>
      </c>
      <c r="J141" s="149" t="s">
        <v>505</v>
      </c>
      <c r="K141" s="151">
        <v>46101</v>
      </c>
      <c r="L141" s="149">
        <f>IF(invoice[[#This Row],[سال]]=year,1,0)</f>
        <v>1</v>
      </c>
      <c r="M141" s="148"/>
      <c r="N141" s="149"/>
      <c r="O141" s="198">
        <f>SUMIF(bargiri[شماره پیش فاکتور],invoice[[#This Row],[شماره پیش فاکتور]],bargiri[میزان بارگیری شده])/invoice[[#This Row],[میزان سفارش]]</f>
        <v>0</v>
      </c>
    </row>
    <row r="142" spans="1:15" ht="30.6" customHeight="1" x14ac:dyDescent="0.25">
      <c r="A142" s="233" t="s">
        <v>731</v>
      </c>
      <c r="B142" s="150" t="s">
        <v>104</v>
      </c>
      <c r="C142" s="150" t="s">
        <v>728</v>
      </c>
      <c r="D142" s="150" t="s">
        <v>728</v>
      </c>
      <c r="E142" s="148">
        <v>20000</v>
      </c>
      <c r="F142" s="148">
        <v>167500</v>
      </c>
      <c r="G142" s="149" t="str">
        <f>CHOOSE(MID(invoice[[#This Row],[تاریخ]],6,2),"فروردین","اردیبهشت","خرداد","تیر","مرداد","شهریور","مهر","آبان","آذر","دی","بهمن","اسفند")</f>
        <v>تیر</v>
      </c>
      <c r="H142" s="149">
        <f>_xlfn.NUMBERVALUE(MID(invoice[[#This Row],[تاریخ]],1,4))</f>
        <v>1404</v>
      </c>
      <c r="I142" s="149" t="s">
        <v>242</v>
      </c>
      <c r="J142" s="149" t="s">
        <v>505</v>
      </c>
      <c r="K142" s="151">
        <v>46101</v>
      </c>
      <c r="L142" s="149">
        <f>IF(invoice[[#This Row],[سال]]=year,1,0)</f>
        <v>1</v>
      </c>
      <c r="M142" s="148"/>
      <c r="N142" s="149"/>
      <c r="O142" s="198">
        <f>SUMIF(bargiri[شماره پیش فاکتور],invoice[[#This Row],[شماره پیش فاکتور]],bargiri[میزان بارگیری شده])/invoice[[#This Row],[میزان سفارش]]</f>
        <v>0</v>
      </c>
    </row>
    <row r="143" spans="1:15" ht="30.6" customHeight="1" x14ac:dyDescent="0.25">
      <c r="A143" s="233" t="s">
        <v>732</v>
      </c>
      <c r="B143" s="150" t="s">
        <v>101</v>
      </c>
      <c r="C143" s="150" t="s">
        <v>728</v>
      </c>
      <c r="D143" s="150" t="s">
        <v>728</v>
      </c>
      <c r="E143" s="148">
        <v>20000</v>
      </c>
      <c r="F143" s="148">
        <v>167500</v>
      </c>
      <c r="G143" s="149" t="str">
        <f>CHOOSE(MID(invoice[[#This Row],[تاریخ]],6,2),"فروردین","اردیبهشت","خرداد","تیر","مرداد","شهریور","مهر","آبان","آذر","دی","بهمن","اسفند")</f>
        <v>تیر</v>
      </c>
      <c r="H143" s="149">
        <f>_xlfn.NUMBERVALUE(MID(invoice[[#This Row],[تاریخ]],1,4))</f>
        <v>1404</v>
      </c>
      <c r="I143" s="149" t="s">
        <v>242</v>
      </c>
      <c r="J143" s="149" t="s">
        <v>505</v>
      </c>
      <c r="K143" s="151">
        <v>46101</v>
      </c>
      <c r="L143" s="149">
        <f>IF(invoice[[#This Row],[سال]]=year,1,0)</f>
        <v>1</v>
      </c>
      <c r="M143" s="148"/>
      <c r="N143" s="149"/>
      <c r="O143" s="198">
        <f>SUMIF(bargiri[شماره پیش فاکتور],invoice[[#This Row],[شماره پیش فاکتور]],bargiri[میزان بارگیری شده])/invoice[[#This Row],[میزان سفارش]]</f>
        <v>0</v>
      </c>
    </row>
    <row r="144" spans="1:15" ht="30.6" customHeight="1" x14ac:dyDescent="0.25">
      <c r="A144" s="233" t="s">
        <v>733</v>
      </c>
      <c r="B144" s="150" t="s">
        <v>117</v>
      </c>
      <c r="C144" s="150" t="s">
        <v>728</v>
      </c>
      <c r="D144" s="150" t="s">
        <v>728</v>
      </c>
      <c r="E144" s="148">
        <v>40000</v>
      </c>
      <c r="F144" s="148">
        <v>167500</v>
      </c>
      <c r="G144" s="149" t="str">
        <f>CHOOSE(MID(invoice[[#This Row],[تاریخ]],6,2),"فروردین","اردیبهشت","خرداد","تیر","مرداد","شهریور","مهر","آبان","آذر","دی","بهمن","اسفند")</f>
        <v>تیر</v>
      </c>
      <c r="H144" s="149">
        <f>_xlfn.NUMBERVALUE(MID(invoice[[#This Row],[تاریخ]],1,4))</f>
        <v>1404</v>
      </c>
      <c r="I144" s="149" t="s">
        <v>242</v>
      </c>
      <c r="J144" s="149" t="s">
        <v>505</v>
      </c>
      <c r="K144" s="151">
        <v>46101</v>
      </c>
      <c r="L144" s="149">
        <f>IF(invoice[[#This Row],[سال]]=year,1,0)</f>
        <v>1</v>
      </c>
      <c r="M144" s="149"/>
      <c r="N144" s="149"/>
      <c r="O144" s="198">
        <f>SUMIF(bargiri[شماره پیش فاکتور],invoice[[#This Row],[شماره پیش فاکتور]],bargiri[میزان بارگیری شده])/invoice[[#This Row],[میزان سفارش]]</f>
        <v>0</v>
      </c>
    </row>
    <row r="145" spans="1:15" ht="30.6" customHeight="1" x14ac:dyDescent="0.25">
      <c r="A145" s="233" t="s">
        <v>747</v>
      </c>
      <c r="B145" s="150" t="s">
        <v>104</v>
      </c>
      <c r="C145" s="150" t="s">
        <v>734</v>
      </c>
      <c r="D145" s="150" t="s">
        <v>746</v>
      </c>
      <c r="E145" s="148">
        <v>20000</v>
      </c>
      <c r="F145" s="148">
        <v>116500</v>
      </c>
      <c r="G145" s="149" t="str">
        <f>CHOOSE(MID(invoice[[#This Row],[تاریخ]],6,2),"فروردین","اردیبهشت","خرداد","تیر","مرداد","شهریور","مهر","آبان","آذر","دی","بهمن","اسفند")</f>
        <v>مرداد</v>
      </c>
      <c r="H145" s="149">
        <f>_xlfn.NUMBERVALUE(MID(invoice[[#This Row],[تاریخ]],1,4))</f>
        <v>1404</v>
      </c>
      <c r="I145" s="149" t="s">
        <v>240</v>
      </c>
      <c r="J145" s="149" t="s">
        <v>505</v>
      </c>
      <c r="K145" s="151">
        <v>46101</v>
      </c>
      <c r="L145" s="149">
        <f>IF(invoice[[#This Row],[سال]]=year,1,0)</f>
        <v>1</v>
      </c>
      <c r="M145" s="149"/>
      <c r="N145" s="149"/>
      <c r="O145" s="198">
        <f>SUMIF(bargiri[شماره پیش فاکتور],invoice[[#This Row],[شماره پیش فاکتور]],bargiri[میزان بارگیری شده])/invoice[[#This Row],[میزان سفارش]]</f>
        <v>0</v>
      </c>
    </row>
    <row r="146" spans="1:15" ht="30.6" customHeight="1" x14ac:dyDescent="0.25">
      <c r="A146" s="233" t="s">
        <v>748</v>
      </c>
      <c r="B146" s="150" t="s">
        <v>101</v>
      </c>
      <c r="C146" s="150" t="s">
        <v>734</v>
      </c>
      <c r="D146" s="150" t="s">
        <v>746</v>
      </c>
      <c r="E146" s="148">
        <v>20000</v>
      </c>
      <c r="F146" s="148">
        <v>116500</v>
      </c>
      <c r="G146" s="149" t="str">
        <f>CHOOSE(MID(invoice[[#This Row],[تاریخ]],6,2),"فروردین","اردیبهشت","خرداد","تیر","مرداد","شهریور","مهر","آبان","آذر","دی","بهمن","اسفند")</f>
        <v>مرداد</v>
      </c>
      <c r="H146" s="149">
        <f>_xlfn.NUMBERVALUE(MID(invoice[[#This Row],[تاریخ]],1,4))</f>
        <v>1404</v>
      </c>
      <c r="I146" s="149" t="s">
        <v>240</v>
      </c>
      <c r="J146" s="149" t="s">
        <v>505</v>
      </c>
      <c r="K146" s="151">
        <v>46101</v>
      </c>
      <c r="L146" s="149">
        <f>IF(invoice[[#This Row],[سال]]=year,1,0)</f>
        <v>1</v>
      </c>
      <c r="M146" s="149"/>
      <c r="N146" s="149"/>
      <c r="O146" s="198">
        <f>SUMIF(bargiri[شماره پیش فاکتور],invoice[[#This Row],[شماره پیش فاکتور]],bargiri[میزان بارگیری شده])/invoice[[#This Row],[میزان سفارش]]</f>
        <v>0</v>
      </c>
    </row>
    <row r="147" spans="1:15" ht="30.6" customHeight="1" x14ac:dyDescent="0.25">
      <c r="A147" s="233" t="s">
        <v>749</v>
      </c>
      <c r="B147" s="150" t="s">
        <v>117</v>
      </c>
      <c r="C147" s="150" t="s">
        <v>734</v>
      </c>
      <c r="D147" s="150" t="s">
        <v>746</v>
      </c>
      <c r="E147" s="148">
        <v>40000</v>
      </c>
      <c r="F147" s="148">
        <v>116500</v>
      </c>
      <c r="G147" s="149" t="str">
        <f>CHOOSE(MID(invoice[[#This Row],[تاریخ]],6,2),"فروردین","اردیبهشت","خرداد","تیر","مرداد","شهریور","مهر","آبان","آذر","دی","بهمن","اسفند")</f>
        <v>مرداد</v>
      </c>
      <c r="H147" s="149">
        <f>_xlfn.NUMBERVALUE(MID(invoice[[#This Row],[تاریخ]],1,4))</f>
        <v>1404</v>
      </c>
      <c r="I147" s="149" t="s">
        <v>240</v>
      </c>
      <c r="J147" s="149" t="s">
        <v>505</v>
      </c>
      <c r="K147" s="151">
        <v>46101</v>
      </c>
      <c r="L147" s="149">
        <f>IF(invoice[[#This Row],[سال]]=year,1,0)</f>
        <v>1</v>
      </c>
      <c r="M147" s="149"/>
      <c r="N147" s="149"/>
      <c r="O147" s="198">
        <f>SUMIF(bargiri[شماره پیش فاکتور],invoice[[#This Row],[شماره پیش فاکتور]],bargiri[میزان بارگیری شده])/invoice[[#This Row],[میزان سفارش]]</f>
        <v>0</v>
      </c>
    </row>
    <row r="148" spans="1:15" ht="30.6" customHeight="1" x14ac:dyDescent="0.25">
      <c r="A148" s="233" t="s">
        <v>750</v>
      </c>
      <c r="B148" s="150" t="s">
        <v>116</v>
      </c>
      <c r="C148" s="150" t="s">
        <v>734</v>
      </c>
      <c r="D148" s="150" t="s">
        <v>746</v>
      </c>
      <c r="E148" s="148">
        <v>20000</v>
      </c>
      <c r="F148" s="148">
        <v>116500</v>
      </c>
      <c r="G148" s="149" t="str">
        <f>CHOOSE(MID(invoice[[#This Row],[تاریخ]],6,2),"فروردین","اردیبهشت","خرداد","تیر","مرداد","شهریور","مهر","آبان","آذر","دی","بهمن","اسفند")</f>
        <v>مرداد</v>
      </c>
      <c r="H148" s="149">
        <f>_xlfn.NUMBERVALUE(MID(invoice[[#This Row],[تاریخ]],1,4))</f>
        <v>1404</v>
      </c>
      <c r="I148" s="149" t="s">
        <v>240</v>
      </c>
      <c r="J148" s="149" t="s">
        <v>505</v>
      </c>
      <c r="K148" s="151">
        <v>46101</v>
      </c>
      <c r="L148" s="149">
        <f>IF(invoice[[#This Row],[سال]]=year,1,0)</f>
        <v>1</v>
      </c>
      <c r="M148" s="149"/>
      <c r="N148" s="149"/>
      <c r="O148" s="198">
        <f>SUMIF(bargiri[شماره پیش فاکتور],invoice[[#This Row],[شماره پیش فاکتور]],bargiri[میزان بارگیری شده])/invoice[[#This Row],[میزان سفارش]]</f>
        <v>0</v>
      </c>
    </row>
    <row r="149" spans="1:15" ht="30.6" customHeight="1" x14ac:dyDescent="0.25">
      <c r="A149" s="233" t="s">
        <v>755</v>
      </c>
      <c r="B149" s="150" t="s">
        <v>116</v>
      </c>
      <c r="C149" s="150" t="s">
        <v>751</v>
      </c>
      <c r="D149" s="150" t="s">
        <v>751</v>
      </c>
      <c r="E149" s="148">
        <v>30000</v>
      </c>
      <c r="F149" s="148">
        <v>167500</v>
      </c>
      <c r="G149" s="149" t="str">
        <f>CHOOSE(MID(invoice[[#This Row],[تاریخ]],6,2),"فروردین","اردیبهشت","خرداد","تیر","مرداد","شهریور","مهر","آبان","آذر","دی","بهمن","اسفند")</f>
        <v>مرداد</v>
      </c>
      <c r="H149" s="149">
        <f>_xlfn.NUMBERVALUE(MID(invoice[[#This Row],[تاریخ]],1,4))</f>
        <v>1404</v>
      </c>
      <c r="I149" s="149" t="s">
        <v>242</v>
      </c>
      <c r="J149" s="149" t="s">
        <v>505</v>
      </c>
      <c r="K149" s="151">
        <v>46101</v>
      </c>
      <c r="L149" s="149">
        <f>IF(invoice[[#This Row],[سال]]=year,1,0)</f>
        <v>1</v>
      </c>
      <c r="M149" s="149"/>
      <c r="N149" s="149"/>
      <c r="O149" s="198">
        <f>SUMIF(bargiri[شماره پیش فاکتور],invoice[[#This Row],[شماره پیش فاکتور]],bargiri[میزان بارگیری شده])/invoice[[#This Row],[میزان سفارش]]</f>
        <v>0</v>
      </c>
    </row>
    <row r="150" spans="1:15" ht="30.6" customHeight="1" x14ac:dyDescent="0.25">
      <c r="A150" s="233" t="s">
        <v>756</v>
      </c>
      <c r="B150" s="150" t="s">
        <v>121</v>
      </c>
      <c r="C150" s="150" t="s">
        <v>751</v>
      </c>
      <c r="D150" s="150" t="s">
        <v>751</v>
      </c>
      <c r="E150" s="148">
        <v>20000</v>
      </c>
      <c r="F150" s="148">
        <v>167500</v>
      </c>
      <c r="G150" s="149" t="str">
        <f>CHOOSE(MID(invoice[[#This Row],[تاریخ]],6,2),"فروردین","اردیبهشت","خرداد","تیر","مرداد","شهریور","مهر","آبان","آذر","دی","بهمن","اسفند")</f>
        <v>مرداد</v>
      </c>
      <c r="H150" s="149">
        <f>_xlfn.NUMBERVALUE(MID(invoice[[#This Row],[تاریخ]],1,4))</f>
        <v>1404</v>
      </c>
      <c r="I150" s="149" t="s">
        <v>242</v>
      </c>
      <c r="J150" s="149" t="s">
        <v>505</v>
      </c>
      <c r="K150" s="151">
        <v>46101</v>
      </c>
      <c r="L150" s="149">
        <f>IF(invoice[[#This Row],[سال]]=year,1,0)</f>
        <v>1</v>
      </c>
      <c r="M150" s="149"/>
      <c r="N150" s="149"/>
      <c r="O150" s="198">
        <f>SUMIF(bargiri[شماره پیش فاکتور],invoice[[#This Row],[شماره پیش فاکتور]],bargiri[میزان بارگیری شده])/invoice[[#This Row],[میزان سفارش]]</f>
        <v>0</v>
      </c>
    </row>
    <row r="151" spans="1:15" ht="30.6" customHeight="1" x14ac:dyDescent="0.25">
      <c r="A151" s="233" t="s">
        <v>757</v>
      </c>
      <c r="B151" s="150" t="s">
        <v>117</v>
      </c>
      <c r="C151" s="150" t="s">
        <v>751</v>
      </c>
      <c r="D151" s="150" t="s">
        <v>751</v>
      </c>
      <c r="E151" s="148">
        <v>20000</v>
      </c>
      <c r="F151" s="148">
        <v>167500</v>
      </c>
      <c r="G151" s="149" t="str">
        <f>CHOOSE(MID(invoice[[#This Row],[تاریخ]],6,2),"فروردین","اردیبهشت","خرداد","تیر","مرداد","شهریور","مهر","آبان","آذر","دی","بهمن","اسفند")</f>
        <v>مرداد</v>
      </c>
      <c r="H151" s="149">
        <f>_xlfn.NUMBERVALUE(MID(invoice[[#This Row],[تاریخ]],1,4))</f>
        <v>1404</v>
      </c>
      <c r="I151" s="149" t="s">
        <v>242</v>
      </c>
      <c r="J151" s="149" t="s">
        <v>505</v>
      </c>
      <c r="K151" s="151">
        <v>46101</v>
      </c>
      <c r="L151" s="149">
        <f>IF(invoice[[#This Row],[سال]]=year,1,0)</f>
        <v>1</v>
      </c>
      <c r="M151" s="149"/>
      <c r="N151" s="149"/>
      <c r="O151" s="198">
        <f>SUMIF(bargiri[شماره پیش فاکتور],invoice[[#This Row],[شماره پیش فاکتور]],bargiri[میزان بارگیری شده])/invoice[[#This Row],[میزان سفارش]]</f>
        <v>0</v>
      </c>
    </row>
    <row r="152" spans="1:15" ht="30.6" customHeight="1" x14ac:dyDescent="0.25">
      <c r="A152" s="233" t="s">
        <v>758</v>
      </c>
      <c r="B152" s="150" t="s">
        <v>98</v>
      </c>
      <c r="C152" s="150" t="s">
        <v>751</v>
      </c>
      <c r="D152" s="150" t="s">
        <v>751</v>
      </c>
      <c r="E152" s="148">
        <v>30000</v>
      </c>
      <c r="F152" s="148">
        <v>167500</v>
      </c>
      <c r="G152" s="149" t="str">
        <f>CHOOSE(MID(invoice[[#This Row],[تاریخ]],6,2),"فروردین","اردیبهشت","خرداد","تیر","مرداد","شهریور","مهر","آبان","آذر","دی","بهمن","اسفند")</f>
        <v>مرداد</v>
      </c>
      <c r="H152" s="149">
        <f>_xlfn.NUMBERVALUE(MID(invoice[[#This Row],[تاریخ]],1,4))</f>
        <v>1404</v>
      </c>
      <c r="I152" s="149" t="s">
        <v>242</v>
      </c>
      <c r="J152" s="149" t="s">
        <v>505</v>
      </c>
      <c r="K152" s="151">
        <v>46101</v>
      </c>
      <c r="L152" s="149">
        <f>IF(invoice[[#This Row],[سال]]=year,1,0)</f>
        <v>1</v>
      </c>
      <c r="M152" s="149"/>
      <c r="N152" s="149"/>
      <c r="O152" s="198">
        <f>SUMIF(bargiri[شماره پیش فاکتور],invoice[[#This Row],[شماره پیش فاکتور]],bargiri[میزان بارگیری شده])/invoice[[#This Row],[میزان سفارش]]</f>
        <v>0</v>
      </c>
    </row>
    <row r="153" spans="1:15" ht="30.6" customHeight="1" x14ac:dyDescent="0.25">
      <c r="A153" s="233" t="s">
        <v>760</v>
      </c>
      <c r="B153" s="150" t="s">
        <v>116</v>
      </c>
      <c r="C153" s="233" t="s">
        <v>754</v>
      </c>
      <c r="D153" s="150" t="s">
        <v>764</v>
      </c>
      <c r="E153" s="148">
        <v>30000</v>
      </c>
      <c r="F153" s="234">
        <v>116500</v>
      </c>
      <c r="G153" s="149" t="str">
        <f>CHOOSE(MID(invoice[[#This Row],[تاریخ]],6,2),"فروردین","اردیبهشت","خرداد","تیر","مرداد","شهریور","مهر","آبان","آذر","دی","بهمن","اسفند")</f>
        <v>مرداد</v>
      </c>
      <c r="H153" s="149">
        <f>_xlfn.NUMBERVALUE(MID(invoice[[#This Row],[تاریخ]],1,4))</f>
        <v>1404</v>
      </c>
      <c r="I153" s="149" t="s">
        <v>240</v>
      </c>
      <c r="J153" s="149" t="s">
        <v>505</v>
      </c>
      <c r="K153" s="242"/>
      <c r="L153" s="149">
        <f>IF(invoice[[#This Row],[سال]]=year,1,0)</f>
        <v>1</v>
      </c>
      <c r="M153" s="149"/>
      <c r="N153" s="149"/>
      <c r="O153" s="235">
        <f>SUMIF(bargiri[شماره پیش فاکتور],invoice[[#This Row],[شماره پیش فاکتور]],bargiri[میزان بارگیری شده])/invoice[[#This Row],[میزان سفارش]]</f>
        <v>0</v>
      </c>
    </row>
    <row r="154" spans="1:15" ht="30.6" customHeight="1" x14ac:dyDescent="0.25">
      <c r="A154" s="233" t="s">
        <v>761</v>
      </c>
      <c r="B154" s="150" t="s">
        <v>121</v>
      </c>
      <c r="C154" s="233" t="s">
        <v>754</v>
      </c>
      <c r="D154" s="150" t="s">
        <v>764</v>
      </c>
      <c r="E154" s="148">
        <v>20000</v>
      </c>
      <c r="F154" s="234">
        <v>116500</v>
      </c>
      <c r="G154" s="149" t="str">
        <f>CHOOSE(MID(invoice[[#This Row],[تاریخ]],6,2),"فروردین","اردیبهشت","خرداد","تیر","مرداد","شهریور","مهر","آبان","آذر","دی","بهمن","اسفند")</f>
        <v>مرداد</v>
      </c>
      <c r="H154" s="149">
        <f>_xlfn.NUMBERVALUE(MID(invoice[[#This Row],[تاریخ]],1,4))</f>
        <v>1404</v>
      </c>
      <c r="I154" s="149" t="s">
        <v>240</v>
      </c>
      <c r="J154" s="149" t="s">
        <v>505</v>
      </c>
      <c r="K154" s="242"/>
      <c r="L154" s="149">
        <f>IF(invoice[[#This Row],[سال]]=year,1,0)</f>
        <v>1</v>
      </c>
      <c r="M154" s="149"/>
      <c r="N154" s="149"/>
      <c r="O154" s="235">
        <f>SUMIF(bargiri[شماره پیش فاکتور],invoice[[#This Row],[شماره پیش فاکتور]],bargiri[میزان بارگیری شده])/invoice[[#This Row],[میزان سفارش]]</f>
        <v>0</v>
      </c>
    </row>
    <row r="155" spans="1:15" ht="30.6" customHeight="1" x14ac:dyDescent="0.25">
      <c r="A155" s="233" t="s">
        <v>762</v>
      </c>
      <c r="B155" s="150" t="s">
        <v>117</v>
      </c>
      <c r="C155" s="233" t="s">
        <v>754</v>
      </c>
      <c r="D155" s="150" t="s">
        <v>764</v>
      </c>
      <c r="E155" s="148">
        <v>20000</v>
      </c>
      <c r="F155" s="234">
        <v>116500</v>
      </c>
      <c r="G155" s="149" t="str">
        <f>CHOOSE(MID(invoice[[#This Row],[تاریخ]],6,2),"فروردین","اردیبهشت","خرداد","تیر","مرداد","شهریور","مهر","آبان","آذر","دی","بهمن","اسفند")</f>
        <v>مرداد</v>
      </c>
      <c r="H155" s="149">
        <f>_xlfn.NUMBERVALUE(MID(invoice[[#This Row],[تاریخ]],1,4))</f>
        <v>1404</v>
      </c>
      <c r="I155" s="149" t="s">
        <v>240</v>
      </c>
      <c r="J155" s="149" t="s">
        <v>505</v>
      </c>
      <c r="K155" s="242"/>
      <c r="L155" s="149">
        <f>IF(invoice[[#This Row],[سال]]=year,1,0)</f>
        <v>1</v>
      </c>
      <c r="M155" s="149"/>
      <c r="N155" s="149"/>
      <c r="O155" s="235">
        <f>SUMIF(bargiri[شماره پیش فاکتور],invoice[[#This Row],[شماره پیش فاکتور]],bargiri[میزان بارگیری شده])/invoice[[#This Row],[میزان سفارش]]</f>
        <v>0</v>
      </c>
    </row>
    <row r="156" spans="1:15" ht="30.6" customHeight="1" x14ac:dyDescent="0.25">
      <c r="A156" s="233" t="s">
        <v>763</v>
      </c>
      <c r="B156" s="150" t="s">
        <v>98</v>
      </c>
      <c r="C156" s="233" t="s">
        <v>754</v>
      </c>
      <c r="D156" s="150" t="s">
        <v>764</v>
      </c>
      <c r="E156" s="148">
        <v>30000</v>
      </c>
      <c r="F156" s="234">
        <v>116500</v>
      </c>
      <c r="G156" s="149" t="str">
        <f>CHOOSE(MID(invoice[[#This Row],[تاریخ]],6,2),"فروردین","اردیبهشت","خرداد","تیر","مرداد","شهریور","مهر","آبان","آذر","دی","بهمن","اسفند")</f>
        <v>مرداد</v>
      </c>
      <c r="H156" s="149">
        <f>_xlfn.NUMBERVALUE(MID(invoice[[#This Row],[تاریخ]],1,4))</f>
        <v>1404</v>
      </c>
      <c r="I156" s="149" t="s">
        <v>240</v>
      </c>
      <c r="J156" s="149" t="s">
        <v>505</v>
      </c>
      <c r="K156" s="242"/>
      <c r="L156" s="149">
        <f>IF(invoice[[#This Row],[سال]]=year,1,0)</f>
        <v>1</v>
      </c>
      <c r="M156" s="149"/>
      <c r="N156" s="149"/>
      <c r="O156" s="235">
        <f>SUMIF(bargiri[شماره پیش فاکتور],invoice[[#This Row],[شماره پیش فاکتور]],bargiri[میزان بارگیری شده])/invoice[[#This Row],[میزان سفارش]]</f>
        <v>0</v>
      </c>
    </row>
    <row r="157" spans="1:15" ht="30.6" customHeight="1" x14ac:dyDescent="0.25">
      <c r="A157" s="233" t="s">
        <v>769</v>
      </c>
      <c r="B157" s="150" t="s">
        <v>768</v>
      </c>
      <c r="C157" s="233" t="s">
        <v>764</v>
      </c>
      <c r="D157" s="150" t="s">
        <v>764</v>
      </c>
      <c r="E157" s="148">
        <v>20000</v>
      </c>
      <c r="F157" s="148">
        <v>160000</v>
      </c>
      <c r="G157" s="149" t="str">
        <f>CHOOSE(MID(invoice[[#This Row],[تاریخ]],6,2),"فروردین","اردیبهشت","خرداد","تیر","مرداد","شهریور","مهر","آبان","آذر","دی","بهمن","اسفند")</f>
        <v>مرداد</v>
      </c>
      <c r="H157" s="149">
        <f>_xlfn.NUMBERVALUE(MID(invoice[[#This Row],[تاریخ]],1,4))</f>
        <v>1404</v>
      </c>
      <c r="I157" s="149" t="s">
        <v>243</v>
      </c>
      <c r="J157" s="149" t="s">
        <v>505</v>
      </c>
      <c r="K157" s="243">
        <v>46101</v>
      </c>
      <c r="L157" s="149">
        <f>IF(invoice[[#This Row],[سال]]=year,1,0)</f>
        <v>1</v>
      </c>
      <c r="M157" s="149"/>
      <c r="N157" s="149"/>
      <c r="O157" s="198">
        <f>SUMIF(bargiri[شماره پیش فاکتور],invoice[[#This Row],[شماره پیش فاکتور]],bargiri[میزان بارگیری شده])/invoice[[#This Row],[میزان سفارش]]</f>
        <v>0.44374999999999998</v>
      </c>
    </row>
  </sheetData>
  <phoneticPr fontId="3" type="noConversion"/>
  <pageMargins left="0.11811023622047245" right="0.11811023622047245" top="0.35433070866141736" bottom="0.15748031496062992" header="0.31496062992125984" footer="0.31496062992125984"/>
  <pageSetup scale="5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4DD45-3B92-4DEB-BDB5-863C7736B562}">
  <sheetPr codeName="Sheet3"/>
  <dimension ref="A1:Z1723"/>
  <sheetViews>
    <sheetView showGridLines="0" rightToLeft="1" topLeftCell="A1006" zoomScaleNormal="100" workbookViewId="0">
      <selection activeCell="M1243" sqref="M1243"/>
    </sheetView>
  </sheetViews>
  <sheetFormatPr defaultColWidth="10.69921875" defaultRowHeight="21.75" customHeight="1" x14ac:dyDescent="0.25"/>
  <cols>
    <col min="1" max="1" width="13.5" bestFit="1" customWidth="1"/>
    <col min="2" max="2" width="29.5" bestFit="1" customWidth="1"/>
    <col min="3" max="3" width="13.69921875" bestFit="1" customWidth="1"/>
    <col min="4" max="4" width="14.3984375" bestFit="1" customWidth="1"/>
    <col min="5" max="5" width="7.3984375" bestFit="1" customWidth="1"/>
    <col min="6" max="6" width="7.59765625" bestFit="1" customWidth="1"/>
    <col min="7" max="7" width="7.5" bestFit="1" customWidth="1"/>
    <col min="8" max="8" width="12.59765625" bestFit="1" customWidth="1"/>
    <col min="9" max="9" width="9.59765625" bestFit="1" customWidth="1"/>
    <col min="10" max="10" width="8.19921875" bestFit="1" customWidth="1"/>
    <col min="11" max="11" width="8.3984375" bestFit="1" customWidth="1"/>
    <col min="13" max="13" width="21.3984375" customWidth="1"/>
    <col min="27" max="16384" width="10.69921875" style="1"/>
  </cols>
  <sheetData>
    <row r="1" spans="1:26" ht="18.600000000000001" x14ac:dyDescent="0.25">
      <c r="A1" s="121" t="s">
        <v>234</v>
      </c>
      <c r="B1" s="121" t="s">
        <v>0</v>
      </c>
      <c r="C1" s="122" t="s">
        <v>127</v>
      </c>
      <c r="D1" s="122" t="s">
        <v>235</v>
      </c>
      <c r="E1" s="121" t="s">
        <v>2</v>
      </c>
      <c r="F1" s="121" t="s">
        <v>237</v>
      </c>
      <c r="G1" s="121" t="s">
        <v>236</v>
      </c>
      <c r="H1" s="121" t="s">
        <v>510</v>
      </c>
      <c r="I1" s="121" t="s">
        <v>515</v>
      </c>
      <c r="J1" s="1"/>
      <c r="K1" s="1"/>
      <c r="L1" s="1"/>
      <c r="M1" s="118" t="s">
        <v>497</v>
      </c>
      <c r="N1" s="1"/>
      <c r="O1" s="1"/>
      <c r="P1" s="1"/>
      <c r="Q1" s="1"/>
      <c r="R1" s="1"/>
      <c r="S1" s="1"/>
      <c r="T1" s="1"/>
      <c r="U1" s="1"/>
      <c r="V1" s="1"/>
      <c r="W1" s="1"/>
      <c r="X1" s="1"/>
      <c r="Y1" s="1"/>
      <c r="Z1" s="1"/>
    </row>
    <row r="2" spans="1:26" ht="18.600000000000001" hidden="1" x14ac:dyDescent="0.25">
      <c r="A2" s="320" t="s">
        <v>773</v>
      </c>
      <c r="B2" s="320" t="s">
        <v>116</v>
      </c>
      <c r="C2" s="318" t="s">
        <v>67</v>
      </c>
      <c r="D2">
        <v>10095</v>
      </c>
      <c r="E2" s="143">
        <v>65000</v>
      </c>
      <c r="F2" s="117">
        <v>1404</v>
      </c>
      <c r="G2" s="321" t="s">
        <v>303</v>
      </c>
      <c r="H2" s="145">
        <f>bargiri[[#This Row],[میزان بارگیری شده]]*bargiri[[#This Row],[فی]]</f>
        <v>656175000</v>
      </c>
      <c r="I2" s="320">
        <f>IF(year=bargiri[[#This Row],[سال]],1,0)</f>
        <v>1</v>
      </c>
      <c r="J2" s="1"/>
      <c r="K2" s="1"/>
      <c r="L2" s="1"/>
      <c r="M2" s="119" t="s">
        <v>526</v>
      </c>
      <c r="N2" s="1"/>
      <c r="O2" s="1"/>
      <c r="P2" s="1"/>
      <c r="Q2" s="1"/>
      <c r="R2" s="1"/>
      <c r="S2" s="1"/>
      <c r="T2" s="1"/>
      <c r="U2" s="1"/>
      <c r="V2" s="1"/>
      <c r="W2" s="1"/>
      <c r="X2" s="1"/>
      <c r="Y2" s="1"/>
      <c r="Z2" s="1"/>
    </row>
    <row r="3" spans="1:26" ht="18.600000000000001" hidden="1" x14ac:dyDescent="0.25">
      <c r="A3" s="320" t="s">
        <v>773</v>
      </c>
      <c r="B3" s="320" t="s">
        <v>109</v>
      </c>
      <c r="C3" s="318" t="s">
        <v>570</v>
      </c>
      <c r="D3">
        <v>7460</v>
      </c>
      <c r="E3" s="143">
        <v>142000</v>
      </c>
      <c r="F3" s="117">
        <v>1404</v>
      </c>
      <c r="G3" s="321" t="s">
        <v>303</v>
      </c>
      <c r="H3" s="145">
        <f>bargiri[[#This Row],[میزان بارگیری شده]]*bargiri[[#This Row],[فی]]</f>
        <v>1059320000</v>
      </c>
      <c r="I3" s="320">
        <f>IF(year=bargiri[[#This Row],[سال]],1,0)</f>
        <v>1</v>
      </c>
      <c r="J3" s="1"/>
      <c r="K3" s="1"/>
      <c r="L3" s="1"/>
      <c r="M3" s="1"/>
      <c r="N3" s="1"/>
      <c r="O3" s="1"/>
      <c r="P3" s="1"/>
      <c r="Q3" s="1"/>
      <c r="R3" s="1"/>
      <c r="S3" s="1"/>
      <c r="T3" s="1"/>
      <c r="U3" s="1"/>
      <c r="V3" s="1"/>
      <c r="W3" s="1"/>
      <c r="X3" s="1"/>
      <c r="Y3" s="1"/>
      <c r="Z3" s="1"/>
    </row>
    <row r="4" spans="1:26" ht="18.600000000000001" hidden="1" x14ac:dyDescent="0.25">
      <c r="A4" s="320" t="s">
        <v>773</v>
      </c>
      <c r="B4" s="320" t="s">
        <v>116</v>
      </c>
      <c r="C4" s="318" t="s">
        <v>67</v>
      </c>
      <c r="D4">
        <v>19970</v>
      </c>
      <c r="E4" s="143">
        <v>65000</v>
      </c>
      <c r="F4" s="117">
        <v>1404</v>
      </c>
      <c r="G4" s="321" t="s">
        <v>303</v>
      </c>
      <c r="H4" s="145">
        <f>bargiri[[#This Row],[میزان بارگیری شده]]*bargiri[[#This Row],[فی]]</f>
        <v>1298050000</v>
      </c>
      <c r="I4" s="320">
        <f>IF(year=bargiri[[#This Row],[سال]],1,0)</f>
        <v>1</v>
      </c>
      <c r="J4" s="1"/>
      <c r="K4" s="1"/>
      <c r="L4" s="1"/>
      <c r="M4" s="1"/>
      <c r="N4" s="1"/>
      <c r="O4" s="1"/>
      <c r="P4" s="1"/>
      <c r="Q4" s="1"/>
      <c r="R4" s="1"/>
      <c r="S4" s="1"/>
      <c r="T4" s="1"/>
      <c r="U4" s="1"/>
      <c r="V4" s="1"/>
      <c r="W4" s="1"/>
      <c r="X4" s="1"/>
      <c r="Y4" s="1"/>
      <c r="Z4" s="1"/>
    </row>
    <row r="5" spans="1:26" ht="18.600000000000001" hidden="1" x14ac:dyDescent="0.25">
      <c r="A5" s="320" t="s">
        <v>772</v>
      </c>
      <c r="B5" s="320" t="s">
        <v>125</v>
      </c>
      <c r="C5" s="318" t="s">
        <v>577</v>
      </c>
      <c r="D5">
        <v>14355</v>
      </c>
      <c r="E5" s="143">
        <v>142000</v>
      </c>
      <c r="F5" s="117">
        <v>1404</v>
      </c>
      <c r="G5" s="321" t="s">
        <v>303</v>
      </c>
      <c r="H5" s="145">
        <f>bargiri[[#This Row],[میزان بارگیری شده]]*bargiri[[#This Row],[فی]]</f>
        <v>2038410000</v>
      </c>
      <c r="I5" s="320">
        <f>IF(year=bargiri[[#This Row],[سال]],1,0)</f>
        <v>1</v>
      </c>
      <c r="J5" s="1"/>
      <c r="K5" s="1"/>
      <c r="L5" s="1"/>
      <c r="M5" s="1"/>
      <c r="N5" s="1"/>
      <c r="O5" s="1"/>
      <c r="P5" s="1"/>
      <c r="Q5" s="1"/>
      <c r="R5" s="1"/>
      <c r="S5" s="1"/>
      <c r="T5" s="1"/>
      <c r="U5" s="1"/>
      <c r="V5" s="1"/>
      <c r="W5" s="1"/>
      <c r="X5" s="1"/>
      <c r="Y5" s="1"/>
      <c r="Z5" s="1"/>
    </row>
    <row r="6" spans="1:26" ht="18.600000000000001" hidden="1" x14ac:dyDescent="0.25">
      <c r="A6" s="320" t="s">
        <v>772</v>
      </c>
      <c r="B6" s="320" t="s">
        <v>122</v>
      </c>
      <c r="C6" s="318" t="s">
        <v>575</v>
      </c>
      <c r="D6">
        <v>22170</v>
      </c>
      <c r="E6" s="143">
        <v>142000</v>
      </c>
      <c r="F6" s="117">
        <v>1404</v>
      </c>
      <c r="G6" s="321" t="s">
        <v>303</v>
      </c>
      <c r="H6" s="145">
        <f>bargiri[[#This Row],[میزان بارگیری شده]]*bargiri[[#This Row],[فی]]</f>
        <v>3148140000</v>
      </c>
      <c r="I6" s="320">
        <f>IF(year=bargiri[[#This Row],[سال]],1,0)</f>
        <v>1</v>
      </c>
      <c r="J6" s="1"/>
      <c r="K6" s="1"/>
      <c r="L6" s="1"/>
      <c r="M6" s="1"/>
      <c r="N6" s="1"/>
      <c r="O6" s="1"/>
      <c r="P6" s="1"/>
      <c r="Q6" s="1"/>
      <c r="R6" s="1"/>
      <c r="S6" s="1"/>
      <c r="T6" s="1"/>
      <c r="U6" s="1"/>
      <c r="V6" s="1"/>
      <c r="W6" s="1"/>
      <c r="X6" s="1"/>
      <c r="Y6" s="1"/>
      <c r="Z6" s="1"/>
    </row>
    <row r="7" spans="1:26" ht="18.600000000000001" hidden="1" x14ac:dyDescent="0.25">
      <c r="A7" s="320" t="s">
        <v>771</v>
      </c>
      <c r="B7" s="320" t="s">
        <v>116</v>
      </c>
      <c r="C7" s="318" t="s">
        <v>572</v>
      </c>
      <c r="D7">
        <v>19915</v>
      </c>
      <c r="E7" s="143">
        <v>142000</v>
      </c>
      <c r="F7" s="117">
        <v>1404</v>
      </c>
      <c r="G7" s="321" t="s">
        <v>303</v>
      </c>
      <c r="H7" s="145">
        <f>bargiri[[#This Row],[میزان بارگیری شده]]*bargiri[[#This Row],[فی]]</f>
        <v>2827930000</v>
      </c>
      <c r="I7" s="320">
        <f>IF(year=bargiri[[#This Row],[سال]],1,0)</f>
        <v>1</v>
      </c>
      <c r="J7" s="1"/>
      <c r="K7" s="1"/>
      <c r="L7" s="1" t="s">
        <v>729</v>
      </c>
      <c r="M7" s="1"/>
      <c r="N7" s="1"/>
      <c r="O7" s="1"/>
      <c r="P7" s="1"/>
      <c r="Q7" s="1"/>
      <c r="R7" s="1"/>
      <c r="S7" s="1"/>
      <c r="T7" s="1"/>
      <c r="U7" s="1"/>
      <c r="V7" s="1"/>
      <c r="W7" s="1"/>
      <c r="X7" s="1"/>
      <c r="Y7" s="1"/>
      <c r="Z7" s="1"/>
    </row>
    <row r="8" spans="1:26" ht="18.600000000000001" hidden="1" x14ac:dyDescent="0.25">
      <c r="A8" s="320" t="s">
        <v>770</v>
      </c>
      <c r="B8" s="320" t="s">
        <v>116</v>
      </c>
      <c r="C8" s="318" t="s">
        <v>572</v>
      </c>
      <c r="D8">
        <v>20100</v>
      </c>
      <c r="E8" s="143">
        <v>142000</v>
      </c>
      <c r="F8" s="117">
        <v>1404</v>
      </c>
      <c r="G8" s="321" t="s">
        <v>303</v>
      </c>
      <c r="H8" s="145">
        <f>bargiri[[#This Row],[میزان بارگیری شده]]*bargiri[[#This Row],[فی]]</f>
        <v>2854200000</v>
      </c>
      <c r="I8" s="320">
        <f>IF(year=bargiri[[#This Row],[سال]],1,0)</f>
        <v>1</v>
      </c>
      <c r="J8" s="1"/>
      <c r="K8" s="1"/>
      <c r="L8" s="1"/>
      <c r="M8" s="1"/>
      <c r="N8" s="1"/>
      <c r="O8" s="1"/>
      <c r="P8" s="1"/>
      <c r="Q8" s="1"/>
      <c r="R8" s="1"/>
      <c r="S8" s="1"/>
      <c r="T8" s="1"/>
      <c r="U8" s="1"/>
      <c r="V8" s="1"/>
      <c r="W8" s="1"/>
      <c r="X8" s="1"/>
      <c r="Y8" s="1"/>
      <c r="Z8" s="1"/>
    </row>
    <row r="9" spans="1:26" ht="18.600000000000001" hidden="1" x14ac:dyDescent="0.25">
      <c r="A9" s="320" t="s">
        <v>770</v>
      </c>
      <c r="B9" s="320" t="s">
        <v>116</v>
      </c>
      <c r="C9" s="318" t="s">
        <v>572</v>
      </c>
      <c r="D9">
        <v>20000</v>
      </c>
      <c r="E9" s="143">
        <v>142000</v>
      </c>
      <c r="F9" s="117">
        <v>1404</v>
      </c>
      <c r="G9" s="321" t="s">
        <v>303</v>
      </c>
      <c r="H9" s="145">
        <f>bargiri[[#This Row],[میزان بارگیری شده]]*bargiri[[#This Row],[فی]]</f>
        <v>2840000000</v>
      </c>
      <c r="I9" s="320">
        <f>IF(year=bargiri[[#This Row],[سال]],1,0)</f>
        <v>1</v>
      </c>
      <c r="J9" s="1"/>
      <c r="K9" s="1"/>
      <c r="L9" s="1"/>
      <c r="M9" s="1"/>
      <c r="N9" s="1"/>
      <c r="O9" s="1"/>
      <c r="P9" s="1"/>
      <c r="Q9" s="1"/>
      <c r="R9" s="1"/>
      <c r="S9" s="1"/>
      <c r="T9" s="1"/>
      <c r="U9" s="1"/>
      <c r="V9" s="1"/>
      <c r="W9" s="1"/>
      <c r="X9" s="1"/>
      <c r="Y9" s="1"/>
      <c r="Z9" s="1"/>
    </row>
    <row r="10" spans="1:26" ht="18.600000000000001" hidden="1" x14ac:dyDescent="0.25">
      <c r="A10" s="320" t="s">
        <v>771</v>
      </c>
      <c r="B10" s="320" t="s">
        <v>99</v>
      </c>
      <c r="C10" s="318" t="s">
        <v>12</v>
      </c>
      <c r="D10">
        <v>19945</v>
      </c>
      <c r="E10" s="143">
        <v>86500</v>
      </c>
      <c r="F10" s="117">
        <v>1404</v>
      </c>
      <c r="G10" s="321" t="s">
        <v>303</v>
      </c>
      <c r="H10" s="145">
        <f>bargiri[[#This Row],[میزان بارگیری شده]]*bargiri[[#This Row],[فی]]</f>
        <v>1725242500</v>
      </c>
      <c r="I10" s="320">
        <f>IF(year=bargiri[[#This Row],[سال]],1,0)</f>
        <v>1</v>
      </c>
      <c r="J10" s="1"/>
      <c r="K10" s="1"/>
      <c r="L10" s="1"/>
      <c r="M10" s="1"/>
      <c r="N10" s="1"/>
      <c r="O10" s="1"/>
      <c r="P10" s="1"/>
      <c r="Q10" s="1"/>
      <c r="R10" s="1"/>
      <c r="S10" s="1"/>
      <c r="T10" s="1"/>
      <c r="U10" s="1"/>
      <c r="V10" s="1"/>
      <c r="W10" s="1"/>
      <c r="X10" s="1"/>
      <c r="Y10" s="1"/>
      <c r="Z10" s="1"/>
    </row>
    <row r="11" spans="1:26" ht="18.600000000000001" x14ac:dyDescent="0.25">
      <c r="A11" s="320" t="s">
        <v>771</v>
      </c>
      <c r="B11" s="320" t="s">
        <v>118</v>
      </c>
      <c r="C11" s="318" t="s">
        <v>84</v>
      </c>
      <c r="D11">
        <v>20470</v>
      </c>
      <c r="E11" s="143">
        <v>57273</v>
      </c>
      <c r="F11" s="117">
        <v>1404</v>
      </c>
      <c r="G11" s="321" t="s">
        <v>303</v>
      </c>
      <c r="H11" s="145">
        <f>bargiri[[#This Row],[میزان بارگیری شده]]*bargiri[[#This Row],[فی]]</f>
        <v>1172378310</v>
      </c>
      <c r="I11" s="320">
        <f>IF(year=bargiri[[#This Row],[سال]],1,0)</f>
        <v>1</v>
      </c>
      <c r="J11" s="1"/>
      <c r="K11" s="1"/>
      <c r="L11" s="1"/>
      <c r="M11" s="1"/>
      <c r="N11" s="1"/>
      <c r="O11" s="1"/>
      <c r="P11" s="1"/>
      <c r="Q11" s="1"/>
      <c r="R11" s="1"/>
      <c r="S11" s="1"/>
      <c r="T11" s="1"/>
      <c r="U11" s="1"/>
      <c r="V11" s="1"/>
      <c r="W11" s="1"/>
      <c r="X11" s="1"/>
      <c r="Y11" s="1"/>
      <c r="Z11" s="1"/>
    </row>
    <row r="12" spans="1:26" ht="18.600000000000001" x14ac:dyDescent="0.25">
      <c r="A12" s="320" t="s">
        <v>771</v>
      </c>
      <c r="B12" s="320" t="s">
        <v>118</v>
      </c>
      <c r="C12" s="318" t="s">
        <v>84</v>
      </c>
      <c r="D12">
        <v>20505</v>
      </c>
      <c r="E12" s="143">
        <v>57273</v>
      </c>
      <c r="F12" s="117">
        <v>1404</v>
      </c>
      <c r="G12" s="321" t="s">
        <v>303</v>
      </c>
      <c r="H12" s="145">
        <f>bargiri[[#This Row],[میزان بارگیری شده]]*bargiri[[#This Row],[فی]]</f>
        <v>1174382865</v>
      </c>
      <c r="I12" s="320">
        <f>IF(year=bargiri[[#This Row],[سال]],1,0)</f>
        <v>1</v>
      </c>
      <c r="J12" s="1"/>
      <c r="K12" s="1"/>
      <c r="L12" s="1"/>
      <c r="M12" s="1"/>
      <c r="N12" s="1"/>
      <c r="O12" s="1"/>
      <c r="P12" s="1"/>
      <c r="Q12" s="1"/>
      <c r="R12" s="1"/>
      <c r="S12" s="1"/>
      <c r="T12" s="1"/>
      <c r="U12" s="1"/>
      <c r="V12" s="1"/>
      <c r="W12" s="1"/>
      <c r="X12" s="1"/>
      <c r="Y12" s="1"/>
      <c r="Z12" s="1"/>
    </row>
    <row r="13" spans="1:26" ht="18.600000000000001" hidden="1" x14ac:dyDescent="0.25">
      <c r="A13" s="320" t="s">
        <v>771</v>
      </c>
      <c r="B13" s="320" t="s">
        <v>768</v>
      </c>
      <c r="C13" s="318" t="s">
        <v>769</v>
      </c>
      <c r="D13">
        <v>8875</v>
      </c>
      <c r="E13" s="143">
        <v>160000</v>
      </c>
      <c r="F13" s="117">
        <v>1404</v>
      </c>
      <c r="G13" s="321" t="s">
        <v>303</v>
      </c>
      <c r="H13" s="145">
        <f>bargiri[[#This Row],[میزان بارگیری شده]]*bargiri[[#This Row],[فی]]</f>
        <v>1420000000</v>
      </c>
      <c r="I13" s="320">
        <f>IF(year=bargiri[[#This Row],[سال]],1,0)</f>
        <v>1</v>
      </c>
      <c r="J13" s="1"/>
      <c r="K13" s="1"/>
      <c r="L13" s="1"/>
      <c r="M13" s="1"/>
      <c r="N13" s="1"/>
      <c r="O13" s="1"/>
      <c r="P13" s="1"/>
      <c r="Q13" s="1"/>
      <c r="R13" s="1"/>
      <c r="S13" s="1"/>
      <c r="T13" s="1"/>
      <c r="U13" s="1"/>
      <c r="V13" s="1"/>
      <c r="W13" s="1"/>
      <c r="X13" s="1"/>
      <c r="Y13" s="1"/>
      <c r="Z13" s="1"/>
    </row>
    <row r="14" spans="1:26" ht="18.600000000000001" hidden="1" x14ac:dyDescent="0.25">
      <c r="A14" s="320" t="s">
        <v>771</v>
      </c>
      <c r="B14" s="320" t="s">
        <v>99</v>
      </c>
      <c r="C14" s="318" t="s">
        <v>12</v>
      </c>
      <c r="D14">
        <v>17970</v>
      </c>
      <c r="E14" s="143">
        <v>86500</v>
      </c>
      <c r="F14" s="117">
        <v>1404</v>
      </c>
      <c r="G14" s="321" t="s">
        <v>303</v>
      </c>
      <c r="H14" s="145">
        <f>bargiri[[#This Row],[میزان بارگیری شده]]*bargiri[[#This Row],[فی]]</f>
        <v>1554405000</v>
      </c>
      <c r="I14" s="320">
        <f>IF(year=bargiri[[#This Row],[سال]],1,0)</f>
        <v>1</v>
      </c>
      <c r="J14" s="1"/>
      <c r="K14" s="1"/>
      <c r="L14" s="1"/>
      <c r="M14" s="1"/>
      <c r="N14" s="1"/>
      <c r="O14" s="1"/>
      <c r="P14" s="1"/>
      <c r="Q14" s="1"/>
      <c r="R14" s="1"/>
      <c r="S14" s="1"/>
      <c r="T14" s="1"/>
      <c r="U14" s="1"/>
      <c r="V14" s="1"/>
      <c r="W14" s="1"/>
      <c r="X14" s="1"/>
      <c r="Y14" s="1"/>
      <c r="Z14" s="1"/>
    </row>
    <row r="15" spans="1:26" ht="18.600000000000001" hidden="1" x14ac:dyDescent="0.25">
      <c r="A15" s="321" t="s">
        <v>764</v>
      </c>
      <c r="B15" s="321" t="s">
        <v>99</v>
      </c>
      <c r="C15" s="318" t="s">
        <v>12</v>
      </c>
      <c r="D15">
        <v>20080</v>
      </c>
      <c r="E15" s="143">
        <v>86500</v>
      </c>
      <c r="F15" s="117">
        <v>1404</v>
      </c>
      <c r="G15" s="321" t="s">
        <v>303</v>
      </c>
      <c r="H15" s="144">
        <f>bargiri[[#This Row],[میزان بارگیری شده]]*bargiri[[#This Row],[فی]]</f>
        <v>1736920000</v>
      </c>
      <c r="I15" s="321">
        <f>IF(year=bargiri[[#This Row],[سال]],1,0)</f>
        <v>1</v>
      </c>
      <c r="J15" s="4"/>
      <c r="K15" s="4"/>
      <c r="L15" s="4"/>
      <c r="M15" s="4"/>
      <c r="N15" s="4"/>
      <c r="O15" s="4"/>
      <c r="P15" s="4"/>
      <c r="Q15" s="4"/>
      <c r="R15" s="4"/>
      <c r="S15" s="4"/>
      <c r="T15" s="4"/>
      <c r="U15" s="4"/>
      <c r="V15" s="4"/>
      <c r="W15" s="4"/>
      <c r="X15" s="1"/>
      <c r="Y15" s="1"/>
      <c r="Z15" s="1"/>
    </row>
    <row r="16" spans="1:26" ht="18.600000000000001" x14ac:dyDescent="0.25">
      <c r="A16" s="321" t="s">
        <v>764</v>
      </c>
      <c r="B16" s="321" t="s">
        <v>118</v>
      </c>
      <c r="C16" s="318" t="s">
        <v>84</v>
      </c>
      <c r="D16">
        <v>21085</v>
      </c>
      <c r="E16" s="143">
        <v>57273</v>
      </c>
      <c r="F16" s="117">
        <v>1404</v>
      </c>
      <c r="G16" s="321" t="s">
        <v>303</v>
      </c>
      <c r="H16" s="144">
        <f>bargiri[[#This Row],[میزان بارگیری شده]]*bargiri[[#This Row],[فی]]</f>
        <v>1207601205</v>
      </c>
      <c r="I16" s="321">
        <f>IF(year=bargiri[[#This Row],[سال]],1,0)</f>
        <v>1</v>
      </c>
      <c r="X16" s="1"/>
      <c r="Y16" s="1"/>
      <c r="Z16" s="1"/>
    </row>
    <row r="17" spans="1:26" ht="18.600000000000001" x14ac:dyDescent="0.25">
      <c r="A17" s="321" t="s">
        <v>764</v>
      </c>
      <c r="B17" s="321" t="s">
        <v>118</v>
      </c>
      <c r="C17" s="318" t="s">
        <v>84</v>
      </c>
      <c r="D17">
        <v>21035</v>
      </c>
      <c r="E17" s="143">
        <v>57273</v>
      </c>
      <c r="F17" s="117">
        <v>1404</v>
      </c>
      <c r="G17" s="321" t="s">
        <v>303</v>
      </c>
      <c r="H17" s="144">
        <f>bargiri[[#This Row],[میزان بارگیری شده]]*bargiri[[#This Row],[فی]]</f>
        <v>1204737555</v>
      </c>
      <c r="I17" s="321">
        <f>IF(year=bargiri[[#This Row],[سال]],1,0)</f>
        <v>1</v>
      </c>
      <c r="X17" s="1"/>
      <c r="Y17" s="1"/>
      <c r="Z17" s="1"/>
    </row>
    <row r="18" spans="1:26" ht="18.600000000000001" hidden="1" x14ac:dyDescent="0.25">
      <c r="A18" s="321" t="s">
        <v>764</v>
      </c>
      <c r="B18" s="321" t="s">
        <v>104</v>
      </c>
      <c r="C18" s="318" t="s">
        <v>658</v>
      </c>
      <c r="D18">
        <v>14145</v>
      </c>
      <c r="E18" s="143">
        <v>201000</v>
      </c>
      <c r="F18" s="117">
        <v>1404</v>
      </c>
      <c r="G18" s="321" t="s">
        <v>303</v>
      </c>
      <c r="H18" s="144">
        <f>bargiri[[#This Row],[میزان بارگیری شده]]*bargiri[[#This Row],[فی]]</f>
        <v>2843145000</v>
      </c>
      <c r="I18" s="321">
        <f>IF(year=bargiri[[#This Row],[سال]],1,0)</f>
        <v>1</v>
      </c>
      <c r="X18" s="1"/>
      <c r="Y18" s="1"/>
      <c r="Z18" s="1"/>
    </row>
    <row r="19" spans="1:26" ht="18.600000000000001" hidden="1" x14ac:dyDescent="0.25">
      <c r="A19" s="321" t="s">
        <v>764</v>
      </c>
      <c r="B19" s="321" t="s">
        <v>104</v>
      </c>
      <c r="C19" s="318" t="s">
        <v>34</v>
      </c>
      <c r="D19">
        <v>4275</v>
      </c>
      <c r="E19" s="143">
        <v>66200</v>
      </c>
      <c r="F19" s="117">
        <v>1404</v>
      </c>
      <c r="G19" s="321" t="s">
        <v>303</v>
      </c>
      <c r="H19" s="144">
        <f>bargiri[[#This Row],[میزان بارگیری شده]]*bargiri[[#This Row],[فی]]</f>
        <v>283005000</v>
      </c>
      <c r="I19" s="321">
        <f>IF(year=bargiri[[#This Row],[سال]],1,0)</f>
        <v>1</v>
      </c>
      <c r="X19" s="1"/>
      <c r="Y19" s="1"/>
      <c r="Z19" s="1"/>
    </row>
    <row r="20" spans="1:26" ht="18.600000000000001" hidden="1" x14ac:dyDescent="0.25">
      <c r="A20" s="321" t="s">
        <v>764</v>
      </c>
      <c r="B20" s="321" t="s">
        <v>117</v>
      </c>
      <c r="C20" s="318" t="s">
        <v>573</v>
      </c>
      <c r="D20">
        <v>19930</v>
      </c>
      <c r="E20" s="143">
        <v>142000</v>
      </c>
      <c r="F20" s="117">
        <v>1404</v>
      </c>
      <c r="G20" s="321" t="s">
        <v>303</v>
      </c>
      <c r="H20" s="144">
        <f>bargiri[[#This Row],[میزان بارگیری شده]]*bargiri[[#This Row],[فی]]</f>
        <v>2830060000</v>
      </c>
      <c r="I20" s="321">
        <f>IF(year=bargiri[[#This Row],[سال]],1,0)</f>
        <v>1</v>
      </c>
      <c r="X20" s="1"/>
      <c r="Y20" s="1"/>
      <c r="Z20" s="1"/>
    </row>
    <row r="21" spans="1:26" ht="18.600000000000001" hidden="1" x14ac:dyDescent="0.25">
      <c r="A21" s="321" t="s">
        <v>764</v>
      </c>
      <c r="B21" s="321" t="s">
        <v>116</v>
      </c>
      <c r="C21" s="318" t="s">
        <v>572</v>
      </c>
      <c r="D21">
        <v>20085</v>
      </c>
      <c r="E21" s="143">
        <v>142000</v>
      </c>
      <c r="F21" s="117">
        <v>1404</v>
      </c>
      <c r="G21" s="321" t="s">
        <v>303</v>
      </c>
      <c r="H21" s="144">
        <f>bargiri[[#This Row],[میزان بارگیری شده]]*bargiri[[#This Row],[فی]]</f>
        <v>2852070000</v>
      </c>
      <c r="I21" s="321">
        <f>IF(year=bargiri[[#This Row],[سال]],1,0)</f>
        <v>1</v>
      </c>
      <c r="X21" s="1"/>
      <c r="Y21" s="1"/>
      <c r="Z21" s="1"/>
    </row>
    <row r="22" spans="1:26" ht="18.600000000000001" hidden="1" x14ac:dyDescent="0.25">
      <c r="A22" s="321" t="s">
        <v>764</v>
      </c>
      <c r="B22" s="321" t="s">
        <v>122</v>
      </c>
      <c r="C22" s="318" t="s">
        <v>575</v>
      </c>
      <c r="D22">
        <v>22145</v>
      </c>
      <c r="E22" s="143">
        <v>142000</v>
      </c>
      <c r="F22" s="117">
        <v>1404</v>
      </c>
      <c r="G22" s="321" t="s">
        <v>303</v>
      </c>
      <c r="H22" s="144">
        <f>bargiri[[#This Row],[میزان بارگیری شده]]*bargiri[[#This Row],[فی]]</f>
        <v>3144590000</v>
      </c>
      <c r="I22" s="321">
        <f>IF(year=bargiri[[#This Row],[سال]],1,0)</f>
        <v>1</v>
      </c>
      <c r="X22" s="1"/>
      <c r="Y22" s="1"/>
      <c r="Z22" s="1"/>
    </row>
    <row r="23" spans="1:26" ht="18.600000000000001" hidden="1" x14ac:dyDescent="0.25">
      <c r="A23" s="321" t="s">
        <v>767</v>
      </c>
      <c r="B23" s="321" t="s">
        <v>109</v>
      </c>
      <c r="C23" s="318" t="s">
        <v>570</v>
      </c>
      <c r="D23">
        <v>7525</v>
      </c>
      <c r="E23" s="143">
        <v>142000</v>
      </c>
      <c r="F23" s="117">
        <v>1404</v>
      </c>
      <c r="G23" s="321" t="s">
        <v>303</v>
      </c>
      <c r="H23" s="144">
        <f>bargiri[[#This Row],[میزان بارگیری شده]]*bargiri[[#This Row],[فی]]</f>
        <v>1068550000</v>
      </c>
      <c r="I23" s="321">
        <f>IF(year=bargiri[[#This Row],[سال]],1,0)</f>
        <v>1</v>
      </c>
      <c r="X23" s="1"/>
      <c r="Y23" s="1"/>
      <c r="Z23" s="1"/>
    </row>
    <row r="24" spans="1:26" ht="18.600000000000001" hidden="1" x14ac:dyDescent="0.25">
      <c r="A24" s="321" t="s">
        <v>767</v>
      </c>
      <c r="B24" s="321" t="s">
        <v>121</v>
      </c>
      <c r="C24" s="318" t="s">
        <v>650</v>
      </c>
      <c r="D24">
        <v>18910</v>
      </c>
      <c r="E24" s="143">
        <v>151100</v>
      </c>
      <c r="F24" s="117">
        <v>1404</v>
      </c>
      <c r="G24" s="321" t="s">
        <v>303</v>
      </c>
      <c r="H24" s="144">
        <f>bargiri[[#This Row],[میزان بارگیری شده]]*bargiri[[#This Row],[فی]]</f>
        <v>2857301000</v>
      </c>
      <c r="I24" s="321">
        <f>IF(year=bargiri[[#This Row],[سال]],1,0)</f>
        <v>1</v>
      </c>
      <c r="X24" s="1"/>
      <c r="Y24" s="1"/>
      <c r="Z24" s="1"/>
    </row>
    <row r="25" spans="1:26" ht="18.600000000000001" hidden="1" x14ac:dyDescent="0.25">
      <c r="A25" s="321" t="s">
        <v>767</v>
      </c>
      <c r="B25" s="321" t="s">
        <v>121</v>
      </c>
      <c r="C25" s="318" t="s">
        <v>574</v>
      </c>
      <c r="D25">
        <v>1015</v>
      </c>
      <c r="E25" s="143">
        <v>142000</v>
      </c>
      <c r="F25" s="117">
        <v>1404</v>
      </c>
      <c r="G25" s="321" t="s">
        <v>303</v>
      </c>
      <c r="H25" s="144">
        <f>bargiri[[#This Row],[میزان بارگیری شده]]*bargiri[[#This Row],[فی]]</f>
        <v>144130000</v>
      </c>
      <c r="I25" s="321">
        <f>IF(year=bargiri[[#This Row],[سال]],1,0)</f>
        <v>1</v>
      </c>
      <c r="X25" s="1"/>
      <c r="Y25" s="1"/>
      <c r="Z25" s="1"/>
    </row>
    <row r="26" spans="1:26" ht="18.600000000000001" x14ac:dyDescent="0.25">
      <c r="A26" s="321" t="s">
        <v>767</v>
      </c>
      <c r="B26" s="321" t="s">
        <v>118</v>
      </c>
      <c r="C26" s="318" t="s">
        <v>84</v>
      </c>
      <c r="D26">
        <v>20580</v>
      </c>
      <c r="E26" s="143">
        <v>57273</v>
      </c>
      <c r="F26" s="117">
        <v>1404</v>
      </c>
      <c r="G26" s="321" t="s">
        <v>303</v>
      </c>
      <c r="H26" s="144">
        <f>bargiri[[#This Row],[میزان بارگیری شده]]*bargiri[[#This Row],[فی]]</f>
        <v>1178678340</v>
      </c>
      <c r="I26" s="321">
        <f>IF(year=bargiri[[#This Row],[سال]],1,0)</f>
        <v>1</v>
      </c>
      <c r="X26" s="1"/>
      <c r="Y26" s="1"/>
      <c r="Z26" s="1"/>
    </row>
    <row r="27" spans="1:26" ht="18.600000000000001" x14ac:dyDescent="0.25">
      <c r="A27" s="321" t="s">
        <v>767</v>
      </c>
      <c r="B27" s="321" t="s">
        <v>118</v>
      </c>
      <c r="C27" s="318" t="s">
        <v>84</v>
      </c>
      <c r="D27">
        <v>20515</v>
      </c>
      <c r="E27" s="143">
        <v>57273</v>
      </c>
      <c r="F27" s="117">
        <v>1404</v>
      </c>
      <c r="G27" s="321" t="s">
        <v>303</v>
      </c>
      <c r="H27" s="144">
        <f>bargiri[[#This Row],[میزان بارگیری شده]]*bargiri[[#This Row],[فی]]</f>
        <v>1174955595</v>
      </c>
      <c r="I27" s="321">
        <f>IF(year=bargiri[[#This Row],[سال]],1,0)</f>
        <v>1</v>
      </c>
      <c r="X27" s="1"/>
      <c r="Y27" s="1"/>
      <c r="Z27" s="1"/>
    </row>
    <row r="28" spans="1:26" ht="18.600000000000001" hidden="1" x14ac:dyDescent="0.25">
      <c r="A28" s="321" t="s">
        <v>767</v>
      </c>
      <c r="B28" s="321" t="s">
        <v>98</v>
      </c>
      <c r="C28" s="318" t="s">
        <v>578</v>
      </c>
      <c r="D28">
        <v>18175</v>
      </c>
      <c r="E28" s="143">
        <v>142000</v>
      </c>
      <c r="F28" s="117">
        <v>1404</v>
      </c>
      <c r="G28" s="321" t="s">
        <v>303</v>
      </c>
      <c r="H28" s="144">
        <f>bargiri[[#This Row],[میزان بارگیری شده]]*bargiri[[#This Row],[فی]]</f>
        <v>2580850000</v>
      </c>
      <c r="I28" s="321">
        <f>IF(year=bargiri[[#This Row],[سال]],1,0)</f>
        <v>1</v>
      </c>
      <c r="X28" s="1"/>
      <c r="Y28" s="1"/>
      <c r="Z28" s="1"/>
    </row>
    <row r="29" spans="1:26" ht="18.600000000000001" hidden="1" x14ac:dyDescent="0.25">
      <c r="A29" s="321" t="s">
        <v>767</v>
      </c>
      <c r="B29" s="321" t="s">
        <v>109</v>
      </c>
      <c r="C29" s="318" t="s">
        <v>570</v>
      </c>
      <c r="D29">
        <v>7240</v>
      </c>
      <c r="E29" s="143">
        <v>142000</v>
      </c>
      <c r="F29" s="117">
        <v>1404</v>
      </c>
      <c r="G29" s="321" t="s">
        <v>303</v>
      </c>
      <c r="H29" s="144">
        <f>bargiri[[#This Row],[میزان بارگیری شده]]*bargiri[[#This Row],[فی]]</f>
        <v>1028080000</v>
      </c>
      <c r="I29" s="321">
        <f>IF(year=bargiri[[#This Row],[سال]],1,0)</f>
        <v>1</v>
      </c>
      <c r="X29" s="1"/>
      <c r="Y29" s="1"/>
      <c r="Z29" s="1"/>
    </row>
    <row r="30" spans="1:26" ht="18.600000000000001" hidden="1" x14ac:dyDescent="0.25">
      <c r="A30" s="321" t="s">
        <v>767</v>
      </c>
      <c r="B30" s="321" t="s">
        <v>116</v>
      </c>
      <c r="C30" s="318" t="s">
        <v>572</v>
      </c>
      <c r="D30">
        <v>20245</v>
      </c>
      <c r="E30" s="143">
        <v>142000</v>
      </c>
      <c r="F30" s="117">
        <v>1404</v>
      </c>
      <c r="G30" s="321" t="s">
        <v>303</v>
      </c>
      <c r="H30" s="144">
        <f>bargiri[[#This Row],[میزان بارگیری شده]]*bargiri[[#This Row],[فی]]</f>
        <v>2874790000</v>
      </c>
      <c r="I30" s="321">
        <f>IF(year=bargiri[[#This Row],[سال]],1,0)</f>
        <v>1</v>
      </c>
      <c r="X30" s="1"/>
      <c r="Y30" s="1"/>
      <c r="Z30" s="1"/>
    </row>
    <row r="31" spans="1:26" ht="18.600000000000001" hidden="1" x14ac:dyDescent="0.25">
      <c r="A31" s="321" t="s">
        <v>766</v>
      </c>
      <c r="B31" s="321" t="s">
        <v>99</v>
      </c>
      <c r="C31" s="318" t="s">
        <v>12</v>
      </c>
      <c r="D31">
        <v>18055</v>
      </c>
      <c r="E31" s="143">
        <v>86500</v>
      </c>
      <c r="F31" s="117">
        <v>1404</v>
      </c>
      <c r="G31" s="321" t="s">
        <v>303</v>
      </c>
      <c r="H31" s="144">
        <f>bargiri[[#This Row],[میزان بارگیری شده]]*bargiri[[#This Row],[فی]]</f>
        <v>1561757500</v>
      </c>
      <c r="I31" s="321">
        <f>IF(year=bargiri[[#This Row],[سال]],1,0)</f>
        <v>1</v>
      </c>
      <c r="X31" s="1"/>
      <c r="Y31" s="1"/>
      <c r="Z31" s="1"/>
    </row>
    <row r="32" spans="1:26" ht="18.600000000000001" hidden="1" x14ac:dyDescent="0.25">
      <c r="A32" s="321" t="s">
        <v>766</v>
      </c>
      <c r="B32" s="321" t="s">
        <v>116</v>
      </c>
      <c r="C32" s="318" t="s">
        <v>572</v>
      </c>
      <c r="D32">
        <v>7435</v>
      </c>
      <c r="E32" s="143">
        <v>142000</v>
      </c>
      <c r="F32" s="117">
        <v>1404</v>
      </c>
      <c r="G32" s="321" t="s">
        <v>303</v>
      </c>
      <c r="H32" s="144">
        <f>bargiri[[#This Row],[میزان بارگیری شده]]*bargiri[[#This Row],[فی]]</f>
        <v>1055770000</v>
      </c>
      <c r="I32" s="321">
        <f>IF(year=bargiri[[#This Row],[سال]],1,0)</f>
        <v>1</v>
      </c>
      <c r="X32" s="1"/>
      <c r="Y32" s="1"/>
      <c r="Z32" s="1"/>
    </row>
    <row r="33" spans="1:26" ht="18.600000000000001" hidden="1" x14ac:dyDescent="0.25">
      <c r="A33" s="321" t="s">
        <v>766</v>
      </c>
      <c r="B33" s="321" t="s">
        <v>116</v>
      </c>
      <c r="C33" s="318" t="s">
        <v>572</v>
      </c>
      <c r="D33">
        <v>19920</v>
      </c>
      <c r="E33" s="143">
        <v>142000</v>
      </c>
      <c r="F33" s="117">
        <v>1404</v>
      </c>
      <c r="G33" s="321" t="s">
        <v>303</v>
      </c>
      <c r="H33" s="144">
        <f>bargiri[[#This Row],[میزان بارگیری شده]]*bargiri[[#This Row],[فی]]</f>
        <v>2828640000</v>
      </c>
      <c r="I33" s="321">
        <f>IF(year=bargiri[[#This Row],[سال]],1,0)</f>
        <v>1</v>
      </c>
      <c r="X33" s="1"/>
      <c r="Y33" s="1"/>
      <c r="Z33" s="1"/>
    </row>
    <row r="34" spans="1:26" ht="18.600000000000001" x14ac:dyDescent="0.25">
      <c r="A34" s="321" t="s">
        <v>766</v>
      </c>
      <c r="B34" s="321" t="s">
        <v>118</v>
      </c>
      <c r="C34" s="318" t="s">
        <v>84</v>
      </c>
      <c r="D34">
        <v>20595</v>
      </c>
      <c r="E34" s="143">
        <v>57273</v>
      </c>
      <c r="F34" s="117">
        <v>1404</v>
      </c>
      <c r="G34" s="321" t="s">
        <v>303</v>
      </c>
      <c r="H34" s="144">
        <f>bargiri[[#This Row],[میزان بارگیری شده]]*bargiri[[#This Row],[فی]]</f>
        <v>1179537435</v>
      </c>
      <c r="I34" s="321">
        <f>IF(year=bargiri[[#This Row],[سال]],1,0)</f>
        <v>1</v>
      </c>
      <c r="X34" s="1"/>
      <c r="Y34" s="1"/>
      <c r="Z34" s="1"/>
    </row>
    <row r="35" spans="1:26" ht="18.600000000000001" x14ac:dyDescent="0.25">
      <c r="A35" s="321" t="s">
        <v>766</v>
      </c>
      <c r="B35" s="321" t="s">
        <v>118</v>
      </c>
      <c r="C35" s="318" t="s">
        <v>84</v>
      </c>
      <c r="D35">
        <v>20640</v>
      </c>
      <c r="E35" s="143">
        <v>57273</v>
      </c>
      <c r="F35" s="117">
        <v>1404</v>
      </c>
      <c r="G35" s="321" t="s">
        <v>303</v>
      </c>
      <c r="H35" s="144">
        <f>bargiri[[#This Row],[میزان بارگیری شده]]*bargiri[[#This Row],[فی]]</f>
        <v>1182114720</v>
      </c>
      <c r="I35" s="321">
        <f>IF(year=bargiri[[#This Row],[سال]],1,0)</f>
        <v>1</v>
      </c>
      <c r="X35" s="1"/>
      <c r="Y35" s="1"/>
      <c r="Z35" s="1"/>
    </row>
    <row r="36" spans="1:26" ht="18.600000000000001" hidden="1" x14ac:dyDescent="0.25">
      <c r="A36" s="321" t="s">
        <v>759</v>
      </c>
      <c r="B36" s="321" t="s">
        <v>102</v>
      </c>
      <c r="C36" s="318" t="s">
        <v>24</v>
      </c>
      <c r="D36">
        <v>11530</v>
      </c>
      <c r="E36" s="143">
        <v>70000</v>
      </c>
      <c r="F36" s="117">
        <v>1404</v>
      </c>
      <c r="G36" s="321" t="s">
        <v>303</v>
      </c>
      <c r="H36" s="144">
        <f>bargiri[[#This Row],[میزان بارگیری شده]]*bargiri[[#This Row],[فی]]</f>
        <v>807100000</v>
      </c>
      <c r="I36" s="321">
        <f>IF(year=bargiri[[#This Row],[سال]],1,0)</f>
        <v>1</v>
      </c>
      <c r="X36" s="1"/>
      <c r="Y36" s="1"/>
      <c r="Z36" s="1"/>
    </row>
    <row r="37" spans="1:26" ht="18.600000000000001" hidden="1" x14ac:dyDescent="0.25">
      <c r="A37" s="321" t="s">
        <v>759</v>
      </c>
      <c r="B37" s="321" t="s">
        <v>109</v>
      </c>
      <c r="C37" s="318" t="s">
        <v>570</v>
      </c>
      <c r="D37">
        <v>7400</v>
      </c>
      <c r="E37" s="143">
        <v>142000</v>
      </c>
      <c r="F37" s="117">
        <v>1404</v>
      </c>
      <c r="G37" s="321" t="s">
        <v>303</v>
      </c>
      <c r="H37" s="144">
        <f>bargiri[[#This Row],[میزان بارگیری شده]]*bargiri[[#This Row],[فی]]</f>
        <v>1050800000</v>
      </c>
      <c r="I37" s="321">
        <f>IF(year=bargiri[[#This Row],[سال]],1,0)</f>
        <v>1</v>
      </c>
      <c r="X37" s="1"/>
      <c r="Y37" s="1"/>
      <c r="Z37" s="1"/>
    </row>
    <row r="38" spans="1:26" ht="18.600000000000001" hidden="1" x14ac:dyDescent="0.25">
      <c r="A38" s="321" t="s">
        <v>759</v>
      </c>
      <c r="B38" s="321" t="s">
        <v>104</v>
      </c>
      <c r="C38" s="318" t="s">
        <v>652</v>
      </c>
      <c r="D38">
        <v>12200</v>
      </c>
      <c r="E38" s="143">
        <v>151200</v>
      </c>
      <c r="F38" s="117">
        <v>1404</v>
      </c>
      <c r="G38" s="321" t="s">
        <v>303</v>
      </c>
      <c r="H38" s="144">
        <f>bargiri[[#This Row],[میزان بارگیری شده]]*bargiri[[#This Row],[فی]]</f>
        <v>1844640000</v>
      </c>
      <c r="I38" s="321">
        <f>IF(year=bargiri[[#This Row],[سال]],1,0)</f>
        <v>1</v>
      </c>
      <c r="X38" s="1"/>
      <c r="Y38" s="1"/>
      <c r="Z38" s="1"/>
    </row>
    <row r="39" spans="1:26" ht="18.600000000000001" hidden="1" x14ac:dyDescent="0.25">
      <c r="A39" s="321" t="s">
        <v>759</v>
      </c>
      <c r="B39" s="321" t="s">
        <v>104</v>
      </c>
      <c r="C39" s="318" t="s">
        <v>658</v>
      </c>
      <c r="D39">
        <v>5855</v>
      </c>
      <c r="E39" s="143">
        <v>201000</v>
      </c>
      <c r="F39" s="117">
        <v>1404</v>
      </c>
      <c r="G39" s="321" t="s">
        <v>303</v>
      </c>
      <c r="H39" s="144">
        <f>bargiri[[#This Row],[میزان بارگیری شده]]*bargiri[[#This Row],[فی]]</f>
        <v>1176855000</v>
      </c>
      <c r="I39" s="321">
        <f>IF(year=bargiri[[#This Row],[سال]],1,0)</f>
        <v>1</v>
      </c>
      <c r="X39" s="1"/>
      <c r="Y39" s="1"/>
      <c r="Z39" s="1"/>
    </row>
    <row r="40" spans="1:26" ht="18.600000000000001" hidden="1" x14ac:dyDescent="0.25">
      <c r="A40" s="321" t="s">
        <v>759</v>
      </c>
      <c r="B40" s="321" t="s">
        <v>123</v>
      </c>
      <c r="C40" s="318" t="s">
        <v>576</v>
      </c>
      <c r="D40">
        <v>7705</v>
      </c>
      <c r="E40" s="143">
        <v>142000</v>
      </c>
      <c r="F40" s="117">
        <v>1404</v>
      </c>
      <c r="G40" s="321" t="s">
        <v>303</v>
      </c>
      <c r="H40" s="144">
        <f>bargiri[[#This Row],[میزان بارگیری شده]]*bargiri[[#This Row],[فی]]</f>
        <v>1094110000</v>
      </c>
      <c r="I40" s="321">
        <f>IF(year=bargiri[[#This Row],[سال]],1,0)</f>
        <v>1</v>
      </c>
      <c r="X40" s="1"/>
      <c r="Y40" s="1"/>
      <c r="Z40" s="1"/>
    </row>
    <row r="41" spans="1:26" ht="18.600000000000001" hidden="1" x14ac:dyDescent="0.25">
      <c r="A41" s="321" t="s">
        <v>759</v>
      </c>
      <c r="B41" s="321" t="s">
        <v>99</v>
      </c>
      <c r="C41" s="318" t="s">
        <v>12</v>
      </c>
      <c r="D41">
        <v>19010</v>
      </c>
      <c r="E41" s="143">
        <v>86500</v>
      </c>
      <c r="F41" s="117">
        <v>1404</v>
      </c>
      <c r="G41" s="321" t="s">
        <v>303</v>
      </c>
      <c r="H41" s="144">
        <f>bargiri[[#This Row],[میزان بارگیری شده]]*bargiri[[#This Row],[فی]]</f>
        <v>1644365000</v>
      </c>
      <c r="I41" s="321">
        <f>IF(year=bargiri[[#This Row],[سال]],1,0)</f>
        <v>1</v>
      </c>
      <c r="X41" s="1"/>
      <c r="Y41" s="1"/>
      <c r="Z41" s="1"/>
    </row>
    <row r="42" spans="1:26" ht="18.600000000000001" hidden="1" x14ac:dyDescent="0.25">
      <c r="A42" s="321" t="s">
        <v>754</v>
      </c>
      <c r="B42" s="321" t="s">
        <v>116</v>
      </c>
      <c r="C42" s="318" t="s">
        <v>572</v>
      </c>
      <c r="D42">
        <v>19950</v>
      </c>
      <c r="E42" s="143">
        <v>142000</v>
      </c>
      <c r="F42" s="117">
        <v>1404</v>
      </c>
      <c r="G42" s="321" t="s">
        <v>303</v>
      </c>
      <c r="H42" s="144">
        <f>bargiri[[#This Row],[میزان بارگیری شده]]*bargiri[[#This Row],[فی]]</f>
        <v>2832900000</v>
      </c>
      <c r="I42" s="321">
        <f>IF(year=bargiri[[#This Row],[سال]],1,0)</f>
        <v>1</v>
      </c>
      <c r="X42" s="1"/>
      <c r="Y42" s="1"/>
      <c r="Z42" s="1"/>
    </row>
    <row r="43" spans="1:26" ht="18.600000000000001" hidden="1" x14ac:dyDescent="0.25">
      <c r="A43" s="321" t="s">
        <v>754</v>
      </c>
      <c r="B43" s="321" t="s">
        <v>116</v>
      </c>
      <c r="C43" s="318" t="s">
        <v>572</v>
      </c>
      <c r="D43">
        <v>7805</v>
      </c>
      <c r="E43" s="143">
        <v>142000</v>
      </c>
      <c r="F43" s="117">
        <v>1404</v>
      </c>
      <c r="G43" s="321" t="s">
        <v>303</v>
      </c>
      <c r="H43" s="144">
        <f>bargiri[[#This Row],[میزان بارگیری شده]]*bargiri[[#This Row],[فی]]</f>
        <v>1108310000</v>
      </c>
      <c r="I43" s="321">
        <f>IF(year=bargiri[[#This Row],[سال]],1,0)</f>
        <v>1</v>
      </c>
      <c r="X43" s="1"/>
      <c r="Y43" s="1"/>
      <c r="Z43" s="1"/>
    </row>
    <row r="44" spans="1:26" ht="18.600000000000001" hidden="1" x14ac:dyDescent="0.25">
      <c r="A44" s="321" t="s">
        <v>754</v>
      </c>
      <c r="B44" s="321" t="s">
        <v>99</v>
      </c>
      <c r="C44" s="318" t="s">
        <v>12</v>
      </c>
      <c r="D44">
        <v>18990</v>
      </c>
      <c r="E44" s="143">
        <v>86500</v>
      </c>
      <c r="F44" s="117">
        <v>1404</v>
      </c>
      <c r="G44" s="321" t="s">
        <v>303</v>
      </c>
      <c r="H44" s="144">
        <f>bargiri[[#This Row],[میزان بارگیری شده]]*bargiri[[#This Row],[فی]]</f>
        <v>1642635000</v>
      </c>
      <c r="I44" s="321">
        <f>IF(year=bargiri[[#This Row],[سال]],1,0)</f>
        <v>1</v>
      </c>
      <c r="X44" s="1"/>
      <c r="Y44" s="1"/>
      <c r="Z44" s="1"/>
    </row>
    <row r="45" spans="1:26" ht="18.600000000000001" hidden="1" x14ac:dyDescent="0.25">
      <c r="A45" s="321" t="s">
        <v>752</v>
      </c>
      <c r="B45" s="321" t="s">
        <v>109</v>
      </c>
      <c r="C45" s="318" t="s">
        <v>570</v>
      </c>
      <c r="D45">
        <v>7430</v>
      </c>
      <c r="E45" s="143">
        <v>142000</v>
      </c>
      <c r="F45" s="117">
        <v>1404</v>
      </c>
      <c r="G45" s="321" t="s">
        <v>303</v>
      </c>
      <c r="H45" s="144">
        <f>bargiri[[#This Row],[میزان بارگیری شده]]*bargiri[[#This Row],[فی]]</f>
        <v>1055060000</v>
      </c>
      <c r="I45" s="321">
        <f>IF(year=bargiri[[#This Row],[سال]],1,0)</f>
        <v>1</v>
      </c>
      <c r="X45" s="1"/>
      <c r="Y45" s="1"/>
      <c r="Z45" s="1"/>
    </row>
    <row r="46" spans="1:26" ht="18.600000000000001" hidden="1" x14ac:dyDescent="0.25">
      <c r="A46" s="321" t="s">
        <v>752</v>
      </c>
      <c r="B46" s="321" t="s">
        <v>116</v>
      </c>
      <c r="C46" s="318" t="s">
        <v>616</v>
      </c>
      <c r="D46">
        <v>8070</v>
      </c>
      <c r="E46" s="143">
        <v>95000</v>
      </c>
      <c r="F46" s="117">
        <v>1404</v>
      </c>
      <c r="G46" s="321" t="s">
        <v>303</v>
      </c>
      <c r="H46" s="144">
        <f>bargiri[[#This Row],[میزان بارگیری شده]]*bargiri[[#This Row],[فی]]</f>
        <v>766650000</v>
      </c>
      <c r="I46" s="321">
        <f>IF(year=bargiri[[#This Row],[سال]],1,0)</f>
        <v>1</v>
      </c>
      <c r="X46" s="1"/>
      <c r="Y46" s="1"/>
      <c r="Z46" s="1"/>
    </row>
    <row r="47" spans="1:26" ht="18.600000000000001" hidden="1" x14ac:dyDescent="0.25">
      <c r="A47" s="321" t="s">
        <v>752</v>
      </c>
      <c r="B47" s="321" t="s">
        <v>101</v>
      </c>
      <c r="C47" s="318" t="s">
        <v>564</v>
      </c>
      <c r="D47">
        <v>12025</v>
      </c>
      <c r="E47" s="143">
        <v>142000</v>
      </c>
      <c r="F47" s="117">
        <v>1404</v>
      </c>
      <c r="G47" s="321" t="s">
        <v>303</v>
      </c>
      <c r="H47" s="144">
        <f>bargiri[[#This Row],[میزان بارگیری شده]]*bargiri[[#This Row],[فی]]</f>
        <v>1707550000</v>
      </c>
      <c r="I47" s="321">
        <f>IF(year=bargiri[[#This Row],[سال]],1,0)</f>
        <v>1</v>
      </c>
      <c r="X47" s="1"/>
      <c r="Y47" s="1"/>
      <c r="Z47" s="1"/>
    </row>
    <row r="48" spans="1:26" ht="18.600000000000001" hidden="1" x14ac:dyDescent="0.25">
      <c r="A48" s="321" t="s">
        <v>752</v>
      </c>
      <c r="B48" s="321" t="s">
        <v>104</v>
      </c>
      <c r="C48" s="318" t="s">
        <v>652</v>
      </c>
      <c r="D48">
        <v>17800</v>
      </c>
      <c r="E48" s="143">
        <v>151200</v>
      </c>
      <c r="F48" s="117">
        <v>1404</v>
      </c>
      <c r="G48" s="321" t="s">
        <v>303</v>
      </c>
      <c r="H48" s="144">
        <f>bargiri[[#This Row],[میزان بارگیری شده]]*bargiri[[#This Row],[فی]]</f>
        <v>2691360000</v>
      </c>
      <c r="I48" s="321">
        <f>IF(year=bargiri[[#This Row],[سال]],1,0)</f>
        <v>1</v>
      </c>
      <c r="X48" s="1"/>
      <c r="Y48" s="1"/>
      <c r="Z48" s="1"/>
    </row>
    <row r="49" spans="1:26" ht="18.600000000000001" hidden="1" x14ac:dyDescent="0.25">
      <c r="A49" s="321" t="s">
        <v>752</v>
      </c>
      <c r="B49" s="321" t="s">
        <v>117</v>
      </c>
      <c r="C49" s="318" t="s">
        <v>722</v>
      </c>
      <c r="D49">
        <v>1010</v>
      </c>
      <c r="E49" s="143">
        <v>167500</v>
      </c>
      <c r="F49" s="117">
        <v>1404</v>
      </c>
      <c r="G49" s="321" t="s">
        <v>303</v>
      </c>
      <c r="H49" s="144">
        <f>bargiri[[#This Row],[میزان بارگیری شده]]*bargiri[[#This Row],[فی]]</f>
        <v>169175000</v>
      </c>
      <c r="I49" s="321">
        <f>IF(year=bargiri[[#This Row],[سال]],1,0)</f>
        <v>1</v>
      </c>
      <c r="X49" s="1"/>
      <c r="Y49" s="1"/>
      <c r="Z49" s="1"/>
    </row>
    <row r="50" spans="1:26" ht="18.600000000000001" hidden="1" x14ac:dyDescent="0.25">
      <c r="A50" s="321" t="s">
        <v>752</v>
      </c>
      <c r="B50" s="321" t="s">
        <v>117</v>
      </c>
      <c r="C50" s="318" t="s">
        <v>573</v>
      </c>
      <c r="D50">
        <v>19015</v>
      </c>
      <c r="E50" s="143">
        <v>142000</v>
      </c>
      <c r="F50" s="117">
        <v>1404</v>
      </c>
      <c r="G50" s="321" t="s">
        <v>303</v>
      </c>
      <c r="H50" s="144">
        <f>bargiri[[#This Row],[میزان بارگیری شده]]*bargiri[[#This Row],[فی]]</f>
        <v>2700130000</v>
      </c>
      <c r="I50" s="321">
        <f>IF(year=bargiri[[#This Row],[سال]],1,0)</f>
        <v>1</v>
      </c>
      <c r="X50" s="1"/>
      <c r="Y50" s="1"/>
      <c r="Z50" s="1"/>
    </row>
    <row r="51" spans="1:26" ht="18.600000000000001" x14ac:dyDescent="0.25">
      <c r="A51" s="321" t="s">
        <v>753</v>
      </c>
      <c r="B51" s="321" t="s">
        <v>118</v>
      </c>
      <c r="C51" s="318" t="s">
        <v>84</v>
      </c>
      <c r="D51">
        <v>20620</v>
      </c>
      <c r="E51" s="143">
        <v>57273</v>
      </c>
      <c r="F51" s="117">
        <v>1404</v>
      </c>
      <c r="G51" s="321" t="s">
        <v>303</v>
      </c>
      <c r="H51" s="144">
        <f>bargiri[[#This Row],[میزان بارگیری شده]]*bargiri[[#This Row],[فی]]</f>
        <v>1180969260</v>
      </c>
      <c r="I51" s="321">
        <f>IF(year=bargiri[[#This Row],[سال]],1,0)</f>
        <v>1</v>
      </c>
      <c r="X51" s="1"/>
      <c r="Y51" s="1"/>
      <c r="Z51" s="1"/>
    </row>
    <row r="52" spans="1:26" ht="18.600000000000001" x14ac:dyDescent="0.25">
      <c r="A52" s="321" t="s">
        <v>753</v>
      </c>
      <c r="B52" s="321" t="s">
        <v>118</v>
      </c>
      <c r="C52" s="318" t="s">
        <v>84</v>
      </c>
      <c r="D52">
        <v>20505</v>
      </c>
      <c r="E52" s="143">
        <v>57273</v>
      </c>
      <c r="F52" s="117">
        <v>1404</v>
      </c>
      <c r="G52" s="321" t="s">
        <v>303</v>
      </c>
      <c r="H52" s="144">
        <f>bargiri[[#This Row],[میزان بارگیری شده]]*bargiri[[#This Row],[فی]]</f>
        <v>1174382865</v>
      </c>
      <c r="I52" s="321">
        <f>IF(year=bargiri[[#This Row],[سال]],1,0)</f>
        <v>1</v>
      </c>
      <c r="X52" s="1"/>
      <c r="Y52" s="1"/>
      <c r="Z52" s="1"/>
    </row>
    <row r="53" spans="1:26" ht="18.600000000000001" x14ac:dyDescent="0.25">
      <c r="A53" s="321" t="s">
        <v>753</v>
      </c>
      <c r="B53" s="321" t="s">
        <v>118</v>
      </c>
      <c r="C53" s="318" t="s">
        <v>84</v>
      </c>
      <c r="D53">
        <v>20560</v>
      </c>
      <c r="E53" s="143">
        <v>57273</v>
      </c>
      <c r="F53" s="117">
        <v>1404</v>
      </c>
      <c r="G53" s="321" t="s">
        <v>303</v>
      </c>
      <c r="H53" s="144">
        <f>bargiri[[#This Row],[میزان بارگیری شده]]*bargiri[[#This Row],[فی]]</f>
        <v>1177532880</v>
      </c>
      <c r="I53" s="321">
        <f>IF(year=bargiri[[#This Row],[سال]],1,0)</f>
        <v>1</v>
      </c>
      <c r="X53" s="1"/>
      <c r="Y53" s="1"/>
      <c r="Z53" s="1"/>
    </row>
    <row r="54" spans="1:26" ht="18.600000000000001" hidden="1" x14ac:dyDescent="0.25">
      <c r="A54" s="321" t="s">
        <v>753</v>
      </c>
      <c r="B54" s="321" t="s">
        <v>114</v>
      </c>
      <c r="C54" s="318" t="s">
        <v>62</v>
      </c>
      <c r="D54">
        <v>22100</v>
      </c>
      <c r="E54" s="143">
        <v>75000</v>
      </c>
      <c r="F54" s="117">
        <v>1404</v>
      </c>
      <c r="G54" s="321" t="s">
        <v>303</v>
      </c>
      <c r="H54" s="144">
        <f>bargiri[[#This Row],[میزان بارگیری شده]]*bargiri[[#This Row],[فی]]</f>
        <v>1657500000</v>
      </c>
      <c r="I54" s="321">
        <f>IF(year=bargiri[[#This Row],[سال]],1,0)</f>
        <v>1</v>
      </c>
      <c r="X54" s="1"/>
      <c r="Y54" s="1"/>
      <c r="Z54" s="1"/>
    </row>
    <row r="55" spans="1:26" ht="18.600000000000001" hidden="1" x14ac:dyDescent="0.25">
      <c r="A55" s="321" t="s">
        <v>753</v>
      </c>
      <c r="B55" s="321" t="s">
        <v>122</v>
      </c>
      <c r="C55" s="318" t="s">
        <v>575</v>
      </c>
      <c r="D55">
        <v>22080</v>
      </c>
      <c r="E55" s="143">
        <v>142000</v>
      </c>
      <c r="F55" s="117">
        <v>1404</v>
      </c>
      <c r="G55" s="321" t="s">
        <v>303</v>
      </c>
      <c r="H55" s="144">
        <f>bargiri[[#This Row],[میزان بارگیری شده]]*bargiri[[#This Row],[فی]]</f>
        <v>3135360000</v>
      </c>
      <c r="I55" s="321">
        <f>IF(year=bargiri[[#This Row],[سال]],1,0)</f>
        <v>1</v>
      </c>
      <c r="X55" s="1"/>
      <c r="Y55" s="1"/>
      <c r="Z55" s="1"/>
    </row>
    <row r="56" spans="1:26" ht="18.600000000000001" hidden="1" x14ac:dyDescent="0.25">
      <c r="A56" s="321" t="s">
        <v>751</v>
      </c>
      <c r="B56" s="321" t="s">
        <v>121</v>
      </c>
      <c r="C56" s="318" t="s">
        <v>650</v>
      </c>
      <c r="D56">
        <v>15000</v>
      </c>
      <c r="E56" s="143">
        <v>151100</v>
      </c>
      <c r="F56" s="117">
        <v>1404</v>
      </c>
      <c r="G56" s="321" t="s">
        <v>303</v>
      </c>
      <c r="H56" s="144">
        <f>bargiri[[#This Row],[میزان بارگیری شده]]*bargiri[[#This Row],[فی]]</f>
        <v>2266500000</v>
      </c>
      <c r="I56" s="321">
        <f>IF(year=bargiri[[#This Row],[سال]],1,0)</f>
        <v>1</v>
      </c>
      <c r="X56" s="1"/>
      <c r="Y56" s="1"/>
      <c r="Z56" s="1"/>
    </row>
    <row r="57" spans="1:26" ht="18.600000000000001" hidden="1" x14ac:dyDescent="0.25">
      <c r="A57" s="321" t="s">
        <v>751</v>
      </c>
      <c r="B57" s="321" t="s">
        <v>116</v>
      </c>
      <c r="C57" s="318" t="s">
        <v>616</v>
      </c>
      <c r="D57">
        <v>8075</v>
      </c>
      <c r="E57" s="143">
        <v>95000</v>
      </c>
      <c r="F57" s="117">
        <v>1404</v>
      </c>
      <c r="G57" s="321" t="s">
        <v>303</v>
      </c>
      <c r="H57" s="144">
        <f>bargiri[[#This Row],[میزان بارگیری شده]]*bargiri[[#This Row],[فی]]</f>
        <v>767125000</v>
      </c>
      <c r="I57" s="321">
        <f>IF(year=bargiri[[#This Row],[سال]],1,0)</f>
        <v>1</v>
      </c>
      <c r="X57" s="1"/>
      <c r="Y57" s="1"/>
      <c r="Z57" s="1"/>
    </row>
    <row r="58" spans="1:26" ht="18.600000000000001" hidden="1" x14ac:dyDescent="0.25">
      <c r="A58" s="321" t="s">
        <v>751</v>
      </c>
      <c r="B58" s="321" t="s">
        <v>102</v>
      </c>
      <c r="C58" s="318" t="s">
        <v>24</v>
      </c>
      <c r="D58">
        <v>11565</v>
      </c>
      <c r="E58" s="143">
        <v>70000</v>
      </c>
      <c r="F58" s="117">
        <v>1404</v>
      </c>
      <c r="G58" s="321" t="s">
        <v>303</v>
      </c>
      <c r="H58" s="144">
        <f>bargiri[[#This Row],[میزان بارگیری شده]]*bargiri[[#This Row],[فی]]</f>
        <v>809550000</v>
      </c>
      <c r="I58" s="321">
        <f>IF(year=bargiri[[#This Row],[سال]],1,0)</f>
        <v>1</v>
      </c>
      <c r="X58" s="1"/>
      <c r="Y58" s="1"/>
      <c r="Z58" s="1"/>
    </row>
    <row r="59" spans="1:26" ht="18.600000000000001" hidden="1" x14ac:dyDescent="0.25">
      <c r="A59" s="321" t="s">
        <v>751</v>
      </c>
      <c r="B59" s="321" t="s">
        <v>116</v>
      </c>
      <c r="C59" s="318" t="s">
        <v>616</v>
      </c>
      <c r="D59">
        <v>19915</v>
      </c>
      <c r="E59" s="143">
        <v>95000</v>
      </c>
      <c r="F59" s="117">
        <v>1404</v>
      </c>
      <c r="G59" s="321" t="s">
        <v>303</v>
      </c>
      <c r="H59" s="144">
        <f>bargiri[[#This Row],[میزان بارگیری شده]]*bargiri[[#This Row],[فی]]</f>
        <v>1891925000</v>
      </c>
      <c r="I59" s="321">
        <f>IF(year=bargiri[[#This Row],[سال]],1,0)</f>
        <v>1</v>
      </c>
      <c r="X59" s="1"/>
      <c r="Y59" s="1"/>
      <c r="Z59" s="1"/>
    </row>
    <row r="60" spans="1:26" ht="18.600000000000001" hidden="1" x14ac:dyDescent="0.25">
      <c r="A60" s="321" t="s">
        <v>751</v>
      </c>
      <c r="B60" s="321" t="s">
        <v>98</v>
      </c>
      <c r="C60" s="318" t="s">
        <v>578</v>
      </c>
      <c r="D60">
        <v>22085</v>
      </c>
      <c r="E60" s="143">
        <v>142000</v>
      </c>
      <c r="F60" s="117">
        <v>1404</v>
      </c>
      <c r="G60" s="321" t="s">
        <v>303</v>
      </c>
      <c r="H60" s="144">
        <f>bargiri[[#This Row],[میزان بارگیری شده]]*bargiri[[#This Row],[فی]]</f>
        <v>3136070000</v>
      </c>
      <c r="I60" s="321">
        <f>IF(year=bargiri[[#This Row],[سال]],1,0)</f>
        <v>1</v>
      </c>
      <c r="X60" s="1"/>
      <c r="Y60" s="1"/>
      <c r="Z60" s="1"/>
    </row>
    <row r="61" spans="1:26" ht="18.600000000000001" hidden="1" x14ac:dyDescent="0.25">
      <c r="A61" s="321" t="s">
        <v>744</v>
      </c>
      <c r="B61" s="321" t="s">
        <v>116</v>
      </c>
      <c r="C61" s="318" t="s">
        <v>616</v>
      </c>
      <c r="D61">
        <v>9890</v>
      </c>
      <c r="E61" s="143">
        <v>95000</v>
      </c>
      <c r="F61" s="117">
        <v>1404</v>
      </c>
      <c r="G61" s="321" t="s">
        <v>303</v>
      </c>
      <c r="H61" s="144">
        <f>bargiri[[#This Row],[میزان بارگیری شده]]*bargiri[[#This Row],[فی]]</f>
        <v>939550000</v>
      </c>
      <c r="I61" s="321">
        <f>IF(year=bargiri[[#This Row],[سال]],1,0)</f>
        <v>1</v>
      </c>
      <c r="X61" s="1"/>
      <c r="Y61" s="1"/>
      <c r="Z61" s="1"/>
    </row>
    <row r="62" spans="1:26" ht="18.600000000000001" hidden="1" x14ac:dyDescent="0.25">
      <c r="A62" s="321" t="s">
        <v>744</v>
      </c>
      <c r="B62" s="321" t="s">
        <v>106</v>
      </c>
      <c r="C62" s="318" t="s">
        <v>44</v>
      </c>
      <c r="D62">
        <v>22070</v>
      </c>
      <c r="E62" s="143">
        <v>80000</v>
      </c>
      <c r="F62" s="117">
        <v>1404</v>
      </c>
      <c r="G62" s="321" t="s">
        <v>303</v>
      </c>
      <c r="H62" s="144">
        <f>bargiri[[#This Row],[میزان بارگیری شده]]*bargiri[[#This Row],[فی]]</f>
        <v>1765600000</v>
      </c>
      <c r="I62" s="321">
        <f>IF(year=bargiri[[#This Row],[سال]],1,0)</f>
        <v>1</v>
      </c>
      <c r="X62" s="1"/>
      <c r="Y62" s="1"/>
      <c r="Z62" s="1"/>
    </row>
    <row r="63" spans="1:26" ht="18.600000000000001" x14ac:dyDescent="0.25">
      <c r="A63" s="321" t="s">
        <v>744</v>
      </c>
      <c r="B63" s="321" t="s">
        <v>118</v>
      </c>
      <c r="C63" s="318" t="s">
        <v>84</v>
      </c>
      <c r="D63">
        <v>20515</v>
      </c>
      <c r="E63" s="143">
        <v>57273</v>
      </c>
      <c r="F63" s="117">
        <v>1404</v>
      </c>
      <c r="G63" s="321" t="s">
        <v>303</v>
      </c>
      <c r="H63" s="144">
        <f>bargiri[[#This Row],[میزان بارگیری شده]]*bargiri[[#This Row],[فی]]</f>
        <v>1174955595</v>
      </c>
      <c r="I63" s="321">
        <f>IF(year=bargiri[[#This Row],[سال]],1,0)</f>
        <v>1</v>
      </c>
      <c r="X63" s="1"/>
      <c r="Y63" s="1"/>
      <c r="Z63" s="1"/>
    </row>
    <row r="64" spans="1:26" ht="18.600000000000001" x14ac:dyDescent="0.25">
      <c r="A64" s="321" t="s">
        <v>744</v>
      </c>
      <c r="B64" s="321" t="s">
        <v>118</v>
      </c>
      <c r="C64" s="318" t="s">
        <v>84</v>
      </c>
      <c r="D64">
        <v>20545</v>
      </c>
      <c r="E64" s="143">
        <v>57273</v>
      </c>
      <c r="F64" s="117">
        <v>1404</v>
      </c>
      <c r="G64" s="321" t="s">
        <v>303</v>
      </c>
      <c r="H64" s="144">
        <f>bargiri[[#This Row],[میزان بارگیری شده]]*bargiri[[#This Row],[فی]]</f>
        <v>1176673785</v>
      </c>
      <c r="I64" s="321">
        <f>IF(year=bargiri[[#This Row],[سال]],1,0)</f>
        <v>1</v>
      </c>
      <c r="X64" s="1"/>
      <c r="Y64" s="1"/>
      <c r="Z64" s="1"/>
    </row>
    <row r="65" spans="1:26" ht="18.600000000000001" hidden="1" x14ac:dyDescent="0.25">
      <c r="A65" s="321" t="s">
        <v>744</v>
      </c>
      <c r="B65" s="321" t="s">
        <v>103</v>
      </c>
      <c r="C65" s="318" t="s">
        <v>566</v>
      </c>
      <c r="D65">
        <v>7040</v>
      </c>
      <c r="E65" s="143">
        <v>142000</v>
      </c>
      <c r="F65" s="117">
        <v>1404</v>
      </c>
      <c r="G65" s="321" t="s">
        <v>303</v>
      </c>
      <c r="H65" s="144">
        <f>bargiri[[#This Row],[میزان بارگیری شده]]*bargiri[[#This Row],[فی]]</f>
        <v>999680000</v>
      </c>
      <c r="I65" s="321">
        <f>IF(year=bargiri[[#This Row],[سال]],1,0)</f>
        <v>1</v>
      </c>
      <c r="X65" s="1"/>
      <c r="Y65" s="1"/>
      <c r="Z65" s="1"/>
    </row>
    <row r="66" spans="1:26" ht="18.600000000000001" hidden="1" x14ac:dyDescent="0.25">
      <c r="A66" s="321" t="s">
        <v>745</v>
      </c>
      <c r="B66" s="321" t="s">
        <v>116</v>
      </c>
      <c r="C66" s="318" t="s">
        <v>616</v>
      </c>
      <c r="D66">
        <v>17900</v>
      </c>
      <c r="E66" s="143">
        <v>95000</v>
      </c>
      <c r="F66" s="117">
        <v>1404</v>
      </c>
      <c r="G66" s="321" t="s">
        <v>303</v>
      </c>
      <c r="H66" s="144">
        <f>bargiri[[#This Row],[میزان بارگیری شده]]*bargiri[[#This Row],[فی]]</f>
        <v>1700500000</v>
      </c>
      <c r="I66" s="321">
        <f>IF(year=bargiri[[#This Row],[سال]],1,0)</f>
        <v>1</v>
      </c>
      <c r="X66" s="1"/>
      <c r="Y66" s="1"/>
      <c r="Z66" s="1"/>
    </row>
    <row r="67" spans="1:26" ht="18.600000000000001" hidden="1" x14ac:dyDescent="0.25">
      <c r="A67" s="321" t="s">
        <v>745</v>
      </c>
      <c r="B67" s="321" t="s">
        <v>125</v>
      </c>
      <c r="C67" s="318" t="s">
        <v>577</v>
      </c>
      <c r="D67">
        <v>14220</v>
      </c>
      <c r="E67" s="143">
        <v>142000</v>
      </c>
      <c r="F67" s="117">
        <v>1404</v>
      </c>
      <c r="G67" s="321" t="s">
        <v>303</v>
      </c>
      <c r="H67" s="144">
        <f>bargiri[[#This Row],[میزان بارگیری شده]]*bargiri[[#This Row],[فی]]</f>
        <v>2019240000</v>
      </c>
      <c r="I67" s="321">
        <f>IF(year=bargiri[[#This Row],[سال]],1,0)</f>
        <v>1</v>
      </c>
      <c r="X67" s="1"/>
      <c r="Y67" s="1"/>
      <c r="Z67" s="1"/>
    </row>
    <row r="68" spans="1:26" ht="18.600000000000001" hidden="1" x14ac:dyDescent="0.25">
      <c r="A68" s="321" t="s">
        <v>745</v>
      </c>
      <c r="B68" s="321" t="s">
        <v>104</v>
      </c>
      <c r="C68" s="318" t="s">
        <v>569</v>
      </c>
      <c r="D68">
        <v>18465</v>
      </c>
      <c r="E68" s="143">
        <v>142000</v>
      </c>
      <c r="F68" s="117">
        <v>1404</v>
      </c>
      <c r="G68" s="321" t="s">
        <v>303</v>
      </c>
      <c r="H68" s="144">
        <f>bargiri[[#This Row],[میزان بارگیری شده]]*bargiri[[#This Row],[فی]]</f>
        <v>2622030000</v>
      </c>
      <c r="I68" s="321">
        <f>IF(year=bargiri[[#This Row],[سال]],1,0)</f>
        <v>1</v>
      </c>
      <c r="X68" s="1"/>
      <c r="Y68" s="1"/>
      <c r="Z68" s="1"/>
    </row>
    <row r="69" spans="1:26" ht="18.600000000000001" x14ac:dyDescent="0.25">
      <c r="A69" s="321" t="s">
        <v>745</v>
      </c>
      <c r="B69" s="321" t="s">
        <v>118</v>
      </c>
      <c r="C69" s="318" t="s">
        <v>84</v>
      </c>
      <c r="D69">
        <v>20530</v>
      </c>
      <c r="E69" s="143">
        <v>57273</v>
      </c>
      <c r="F69" s="117">
        <v>1404</v>
      </c>
      <c r="G69" s="321" t="s">
        <v>303</v>
      </c>
      <c r="H69" s="144">
        <f>bargiri[[#This Row],[میزان بارگیری شده]]*bargiri[[#This Row],[فی]]</f>
        <v>1175814690</v>
      </c>
      <c r="I69" s="321">
        <f>IF(year=bargiri[[#This Row],[سال]],1,0)</f>
        <v>1</v>
      </c>
      <c r="X69" s="1"/>
      <c r="Y69" s="1"/>
      <c r="Z69" s="1"/>
    </row>
    <row r="70" spans="1:26" ht="18.600000000000001" x14ac:dyDescent="0.25">
      <c r="A70" s="321" t="s">
        <v>745</v>
      </c>
      <c r="B70" s="321" t="s">
        <v>118</v>
      </c>
      <c r="C70" s="318" t="s">
        <v>84</v>
      </c>
      <c r="D70">
        <v>20525</v>
      </c>
      <c r="E70" s="143">
        <v>57273</v>
      </c>
      <c r="F70" s="117">
        <v>1404</v>
      </c>
      <c r="G70" s="321" t="s">
        <v>303</v>
      </c>
      <c r="H70" s="144">
        <f>bargiri[[#This Row],[میزان بارگیری شده]]*bargiri[[#This Row],[فی]]</f>
        <v>1175528325</v>
      </c>
      <c r="I70" s="321">
        <f>IF(year=bargiri[[#This Row],[سال]],1,0)</f>
        <v>1</v>
      </c>
      <c r="X70" s="1"/>
      <c r="Y70" s="1"/>
      <c r="Z70" s="1"/>
    </row>
    <row r="71" spans="1:26" ht="18.600000000000001" hidden="1" x14ac:dyDescent="0.25">
      <c r="A71" s="321" t="s">
        <v>745</v>
      </c>
      <c r="B71" s="321" t="s">
        <v>99</v>
      </c>
      <c r="C71" s="318" t="s">
        <v>12</v>
      </c>
      <c r="D71">
        <v>19045</v>
      </c>
      <c r="E71" s="143">
        <v>86500</v>
      </c>
      <c r="F71" s="117">
        <v>1404</v>
      </c>
      <c r="G71" s="321" t="s">
        <v>303</v>
      </c>
      <c r="H71" s="144">
        <f>bargiri[[#This Row],[میزان بارگیری شده]]*bargiri[[#This Row],[فی]]</f>
        <v>1647392500</v>
      </c>
      <c r="I71" s="321">
        <f>IF(year=bargiri[[#This Row],[سال]],1,0)</f>
        <v>1</v>
      </c>
      <c r="X71" s="1"/>
      <c r="Y71" s="1"/>
      <c r="Z71" s="1"/>
    </row>
    <row r="72" spans="1:26" ht="18.600000000000001" hidden="1" x14ac:dyDescent="0.25">
      <c r="A72" s="321" t="s">
        <v>746</v>
      </c>
      <c r="B72" s="321" t="s">
        <v>116</v>
      </c>
      <c r="C72" s="318" t="s">
        <v>616</v>
      </c>
      <c r="D72">
        <v>19770</v>
      </c>
      <c r="E72" s="143">
        <v>95000</v>
      </c>
      <c r="F72" s="117">
        <v>1404</v>
      </c>
      <c r="G72" s="321" t="s">
        <v>303</v>
      </c>
      <c r="H72" s="144">
        <f>bargiri[[#This Row],[میزان بارگیری شده]]*bargiri[[#This Row],[فی]]</f>
        <v>1878150000</v>
      </c>
      <c r="I72" s="321">
        <f>IF(year=bargiri[[#This Row],[سال]],1,0)</f>
        <v>1</v>
      </c>
      <c r="X72" s="1"/>
      <c r="Y72" s="1"/>
      <c r="Z72" s="1"/>
    </row>
    <row r="73" spans="1:26" ht="18.600000000000001" hidden="1" x14ac:dyDescent="0.25">
      <c r="A73" s="321" t="s">
        <v>746</v>
      </c>
      <c r="B73" s="321" t="s">
        <v>103</v>
      </c>
      <c r="C73" s="318" t="s">
        <v>566</v>
      </c>
      <c r="D73">
        <v>7090</v>
      </c>
      <c r="E73" s="143">
        <v>142000</v>
      </c>
      <c r="F73" s="117">
        <v>1404</v>
      </c>
      <c r="G73" s="321" t="s">
        <v>303</v>
      </c>
      <c r="H73" s="144">
        <f>bargiri[[#This Row],[میزان بارگیری شده]]*bargiri[[#This Row],[فی]]</f>
        <v>1006780000</v>
      </c>
      <c r="I73" s="321">
        <f>IF(year=bargiri[[#This Row],[سال]],1,0)</f>
        <v>1</v>
      </c>
      <c r="X73" s="1"/>
      <c r="Y73" s="1"/>
      <c r="Z73" s="1"/>
    </row>
    <row r="74" spans="1:26" ht="18.600000000000001" hidden="1" x14ac:dyDescent="0.25">
      <c r="A74" s="321" t="s">
        <v>746</v>
      </c>
      <c r="B74" s="321" t="s">
        <v>109</v>
      </c>
      <c r="C74" s="318" t="s">
        <v>570</v>
      </c>
      <c r="D74">
        <v>7575</v>
      </c>
      <c r="E74" s="143">
        <v>142000</v>
      </c>
      <c r="F74" s="117">
        <v>1404</v>
      </c>
      <c r="G74" s="321" t="s">
        <v>303</v>
      </c>
      <c r="H74" s="144">
        <f>bargiri[[#This Row],[میزان بارگیری شده]]*bargiri[[#This Row],[فی]]</f>
        <v>1075650000</v>
      </c>
      <c r="I74" s="321">
        <f>IF(year=bargiri[[#This Row],[سال]],1,0)</f>
        <v>1</v>
      </c>
      <c r="X74" s="1"/>
      <c r="Y74" s="1"/>
      <c r="Z74" s="1"/>
    </row>
    <row r="75" spans="1:26" ht="18.600000000000001" hidden="1" x14ac:dyDescent="0.25">
      <c r="A75" s="321" t="s">
        <v>746</v>
      </c>
      <c r="B75" s="321" t="s">
        <v>99</v>
      </c>
      <c r="C75" s="318" t="s">
        <v>12</v>
      </c>
      <c r="D75">
        <v>19070</v>
      </c>
      <c r="E75" s="143">
        <v>86500</v>
      </c>
      <c r="F75" s="117">
        <v>1404</v>
      </c>
      <c r="G75" s="321" t="s">
        <v>303</v>
      </c>
      <c r="H75" s="144">
        <f>bargiri[[#This Row],[میزان بارگیری شده]]*bargiri[[#This Row],[فی]]</f>
        <v>1649555000</v>
      </c>
      <c r="I75" s="321">
        <f>IF(year=bargiri[[#This Row],[سال]],1,0)</f>
        <v>1</v>
      </c>
      <c r="X75" s="1"/>
      <c r="Y75" s="1"/>
      <c r="Z75" s="1"/>
    </row>
    <row r="76" spans="1:26" ht="18.600000000000001" hidden="1" x14ac:dyDescent="0.25">
      <c r="A76" s="321" t="s">
        <v>741</v>
      </c>
      <c r="B76" s="321" t="s">
        <v>117</v>
      </c>
      <c r="C76" s="318" t="s">
        <v>722</v>
      </c>
      <c r="D76">
        <v>20040</v>
      </c>
      <c r="E76" s="143">
        <v>167500</v>
      </c>
      <c r="F76" s="117">
        <v>1404</v>
      </c>
      <c r="G76" s="321" t="s">
        <v>303</v>
      </c>
      <c r="H76" s="144">
        <f>bargiri[[#This Row],[میزان بارگیری شده]]*bargiri[[#This Row],[فی]]</f>
        <v>3356700000</v>
      </c>
      <c r="I76" s="321">
        <f>IF(year=bargiri[[#This Row],[سال]],1,0)</f>
        <v>1</v>
      </c>
      <c r="X76" s="1"/>
      <c r="Y76" s="1"/>
      <c r="Z76" s="1"/>
    </row>
    <row r="77" spans="1:26" ht="18.600000000000001" hidden="1" x14ac:dyDescent="0.25">
      <c r="A77" s="321" t="s">
        <v>741</v>
      </c>
      <c r="B77" s="321" t="s">
        <v>99</v>
      </c>
      <c r="C77" s="318" t="s">
        <v>12</v>
      </c>
      <c r="D77">
        <v>19020</v>
      </c>
      <c r="E77" s="143">
        <v>86500</v>
      </c>
      <c r="F77" s="117">
        <v>1404</v>
      </c>
      <c r="G77" s="321" t="s">
        <v>303</v>
      </c>
      <c r="H77" s="144">
        <f>bargiri[[#This Row],[میزان بارگیری شده]]*bargiri[[#This Row],[فی]]</f>
        <v>1645230000</v>
      </c>
      <c r="I77" s="321">
        <f>IF(year=bargiri[[#This Row],[سال]],1,0)</f>
        <v>1</v>
      </c>
      <c r="X77" s="1"/>
      <c r="Y77" s="1"/>
      <c r="Z77" s="1"/>
    </row>
    <row r="78" spans="1:26" ht="18.600000000000001" hidden="1" x14ac:dyDescent="0.25">
      <c r="A78" s="321" t="s">
        <v>742</v>
      </c>
      <c r="B78" s="321" t="s">
        <v>116</v>
      </c>
      <c r="C78" s="318" t="s">
        <v>616</v>
      </c>
      <c r="D78">
        <v>20050</v>
      </c>
      <c r="E78" s="143">
        <v>95000</v>
      </c>
      <c r="F78" s="117">
        <v>1404</v>
      </c>
      <c r="G78" s="321" t="s">
        <v>303</v>
      </c>
      <c r="H78" s="144">
        <f>bargiri[[#This Row],[میزان بارگیری شده]]*bargiri[[#This Row],[فی]]</f>
        <v>1904750000</v>
      </c>
      <c r="I78" s="321">
        <f>IF(year=bargiri[[#This Row],[سال]],1,0)</f>
        <v>1</v>
      </c>
      <c r="X78" s="1"/>
      <c r="Y78" s="1"/>
      <c r="Z78" s="1"/>
    </row>
    <row r="79" spans="1:26" ht="18.600000000000001" hidden="1" x14ac:dyDescent="0.25">
      <c r="A79" s="321" t="s">
        <v>742</v>
      </c>
      <c r="B79" s="321" t="s">
        <v>116</v>
      </c>
      <c r="C79" s="318" t="s">
        <v>616</v>
      </c>
      <c r="D79">
        <v>20080</v>
      </c>
      <c r="E79" s="143">
        <v>95000</v>
      </c>
      <c r="F79" s="117">
        <v>1404</v>
      </c>
      <c r="G79" s="321" t="s">
        <v>303</v>
      </c>
      <c r="H79" s="144">
        <f>bargiri[[#This Row],[میزان بارگیری شده]]*bargiri[[#This Row],[فی]]</f>
        <v>1907600000</v>
      </c>
      <c r="I79" s="321">
        <f>IF(year=bargiri[[#This Row],[سال]],1,0)</f>
        <v>1</v>
      </c>
      <c r="X79" s="1"/>
      <c r="Y79" s="1"/>
      <c r="Z79" s="1"/>
    </row>
    <row r="80" spans="1:26" ht="18.600000000000001" hidden="1" x14ac:dyDescent="0.25">
      <c r="A80" s="321" t="s">
        <v>742</v>
      </c>
      <c r="B80" s="321" t="s">
        <v>117</v>
      </c>
      <c r="C80" s="318" t="s">
        <v>722</v>
      </c>
      <c r="D80">
        <v>20010</v>
      </c>
      <c r="E80" s="143">
        <v>167500</v>
      </c>
      <c r="F80" s="117">
        <v>1404</v>
      </c>
      <c r="G80" s="321" t="s">
        <v>303</v>
      </c>
      <c r="H80" s="144">
        <f>bargiri[[#This Row],[میزان بارگیری شده]]*bargiri[[#This Row],[فی]]</f>
        <v>3351675000</v>
      </c>
      <c r="I80" s="321">
        <f>IF(year=bargiri[[#This Row],[سال]],1,0)</f>
        <v>1</v>
      </c>
      <c r="X80" s="1"/>
      <c r="Y80" s="1"/>
      <c r="Z80" s="1"/>
    </row>
    <row r="81" spans="1:26" ht="18.600000000000001" hidden="1" x14ac:dyDescent="0.25">
      <c r="A81" s="321" t="s">
        <v>742</v>
      </c>
      <c r="B81" s="321" t="s">
        <v>116</v>
      </c>
      <c r="C81" s="318" t="s">
        <v>616</v>
      </c>
      <c r="D81">
        <v>19910</v>
      </c>
      <c r="E81" s="143">
        <v>95000</v>
      </c>
      <c r="F81" s="117">
        <v>1404</v>
      </c>
      <c r="G81" s="321" t="s">
        <v>303</v>
      </c>
      <c r="H81" s="144">
        <f>bargiri[[#This Row],[میزان بارگیری شده]]*bargiri[[#This Row],[فی]]</f>
        <v>1891450000</v>
      </c>
      <c r="I81" s="321">
        <f>IF(year=bargiri[[#This Row],[سال]],1,0)</f>
        <v>1</v>
      </c>
      <c r="X81" s="1"/>
      <c r="Y81" s="1"/>
      <c r="Z81" s="1"/>
    </row>
    <row r="82" spans="1:26" ht="18.600000000000001" hidden="1" x14ac:dyDescent="0.25">
      <c r="A82" s="321" t="s">
        <v>743</v>
      </c>
      <c r="B82" s="321" t="s">
        <v>116</v>
      </c>
      <c r="C82" s="318" t="s">
        <v>616</v>
      </c>
      <c r="D82">
        <v>7060</v>
      </c>
      <c r="E82" s="143">
        <v>95000</v>
      </c>
      <c r="F82" s="117">
        <v>1404</v>
      </c>
      <c r="G82" s="321" t="s">
        <v>303</v>
      </c>
      <c r="H82" s="144">
        <f>bargiri[[#This Row],[میزان بارگیری شده]]*bargiri[[#This Row],[فی]]</f>
        <v>670700000</v>
      </c>
      <c r="I82" s="321">
        <f>IF(year=bargiri[[#This Row],[سال]],1,0)</f>
        <v>1</v>
      </c>
      <c r="X82" s="1"/>
      <c r="Y82" s="1"/>
      <c r="Z82" s="1"/>
    </row>
    <row r="83" spans="1:26" ht="18.600000000000001" x14ac:dyDescent="0.25">
      <c r="A83" s="321" t="s">
        <v>743</v>
      </c>
      <c r="B83" s="321" t="s">
        <v>118</v>
      </c>
      <c r="C83" s="318" t="s">
        <v>84</v>
      </c>
      <c r="D83">
        <v>21015</v>
      </c>
      <c r="E83" s="143">
        <v>57273</v>
      </c>
      <c r="F83" s="117">
        <v>1404</v>
      </c>
      <c r="G83" s="321" t="s">
        <v>303</v>
      </c>
      <c r="H83" s="144">
        <f>bargiri[[#This Row],[میزان بارگیری شده]]*bargiri[[#This Row],[فی]]</f>
        <v>1203592095</v>
      </c>
      <c r="I83" s="321">
        <f>IF(year=bargiri[[#This Row],[سال]],1,0)</f>
        <v>1</v>
      </c>
      <c r="X83" s="1"/>
      <c r="Y83" s="1"/>
      <c r="Z83" s="1"/>
    </row>
    <row r="84" spans="1:26" ht="18.600000000000001" x14ac:dyDescent="0.25">
      <c r="A84" s="321" t="s">
        <v>743</v>
      </c>
      <c r="B84" s="321" t="s">
        <v>118</v>
      </c>
      <c r="C84" s="318" t="s">
        <v>84</v>
      </c>
      <c r="D84">
        <v>21045</v>
      </c>
      <c r="E84" s="143">
        <v>57273</v>
      </c>
      <c r="F84" s="117">
        <v>1404</v>
      </c>
      <c r="G84" s="321" t="s">
        <v>303</v>
      </c>
      <c r="H84" s="144">
        <f>bargiri[[#This Row],[میزان بارگیری شده]]*bargiri[[#This Row],[فی]]</f>
        <v>1205310285</v>
      </c>
      <c r="I84" s="321">
        <f>IF(year=bargiri[[#This Row],[سال]],1,0)</f>
        <v>1</v>
      </c>
      <c r="X84" s="1"/>
      <c r="Y84" s="1"/>
      <c r="Z84" s="1"/>
    </row>
    <row r="85" spans="1:26" ht="18.600000000000001" x14ac:dyDescent="0.25">
      <c r="A85" s="321" t="s">
        <v>743</v>
      </c>
      <c r="B85" s="321" t="s">
        <v>118</v>
      </c>
      <c r="C85" s="318" t="s">
        <v>84</v>
      </c>
      <c r="D85">
        <v>21025</v>
      </c>
      <c r="E85" s="143">
        <v>57273</v>
      </c>
      <c r="F85" s="117">
        <v>1404</v>
      </c>
      <c r="G85" s="321" t="s">
        <v>303</v>
      </c>
      <c r="H85" s="144">
        <f>bargiri[[#This Row],[میزان بارگیری شده]]*bargiri[[#This Row],[فی]]</f>
        <v>1204164825</v>
      </c>
      <c r="I85" s="321">
        <f>IF(year=bargiri[[#This Row],[سال]],1,0)</f>
        <v>1</v>
      </c>
      <c r="X85" s="1"/>
      <c r="Y85" s="1"/>
      <c r="Z85" s="1"/>
    </row>
    <row r="86" spans="1:26" ht="18.600000000000001" hidden="1" x14ac:dyDescent="0.25">
      <c r="A86" s="321" t="s">
        <v>740</v>
      </c>
      <c r="B86" s="321" t="s">
        <v>121</v>
      </c>
      <c r="C86" s="318" t="s">
        <v>544</v>
      </c>
      <c r="D86">
        <v>3910</v>
      </c>
      <c r="E86" s="143">
        <v>151200</v>
      </c>
      <c r="F86" s="117">
        <v>1404</v>
      </c>
      <c r="G86" s="321" t="s">
        <v>303</v>
      </c>
      <c r="H86" s="144">
        <f>bargiri[[#This Row],[میزان بارگیری شده]]*bargiri[[#This Row],[فی]]</f>
        <v>591192000</v>
      </c>
      <c r="I86" s="321">
        <f>IF(year=bargiri[[#This Row],[سال]],1,0)</f>
        <v>1</v>
      </c>
      <c r="X86" s="1"/>
      <c r="Y86" s="1"/>
      <c r="Z86" s="1"/>
    </row>
    <row r="87" spans="1:26" ht="18.600000000000001" hidden="1" x14ac:dyDescent="0.25">
      <c r="A87" s="321" t="s">
        <v>740</v>
      </c>
      <c r="B87" s="321" t="s">
        <v>121</v>
      </c>
      <c r="C87" s="318" t="s">
        <v>650</v>
      </c>
      <c r="D87">
        <v>16090</v>
      </c>
      <c r="E87" s="143">
        <v>151100</v>
      </c>
      <c r="F87" s="117">
        <v>1404</v>
      </c>
      <c r="G87" s="321" t="s">
        <v>303</v>
      </c>
      <c r="H87" s="144">
        <f>bargiri[[#This Row],[میزان بارگیری شده]]*bargiri[[#This Row],[فی]]</f>
        <v>2431199000</v>
      </c>
      <c r="I87" s="321">
        <f>IF(year=bargiri[[#This Row],[سال]],1,0)</f>
        <v>1</v>
      </c>
      <c r="X87" s="1"/>
      <c r="Y87" s="1"/>
      <c r="Z87" s="1"/>
    </row>
    <row r="88" spans="1:26" ht="18.600000000000001" hidden="1" x14ac:dyDescent="0.25">
      <c r="A88" s="321" t="s">
        <v>740</v>
      </c>
      <c r="B88" s="321" t="s">
        <v>98</v>
      </c>
      <c r="C88" s="318" t="s">
        <v>631</v>
      </c>
      <c r="D88">
        <v>8505</v>
      </c>
      <c r="E88" s="143">
        <v>167500</v>
      </c>
      <c r="F88" s="117">
        <v>1404</v>
      </c>
      <c r="G88" s="321" t="s">
        <v>303</v>
      </c>
      <c r="H88" s="144">
        <f>bargiri[[#This Row],[میزان بارگیری شده]]*bargiri[[#This Row],[فی]]</f>
        <v>1424587500</v>
      </c>
      <c r="I88" s="321">
        <f>IF(year=bargiri[[#This Row],[سال]],1,0)</f>
        <v>1</v>
      </c>
      <c r="X88" s="1"/>
      <c r="Y88" s="1"/>
      <c r="Z88" s="1"/>
    </row>
    <row r="89" spans="1:26" ht="18.600000000000001" hidden="1" x14ac:dyDescent="0.25">
      <c r="A89" s="321" t="s">
        <v>740</v>
      </c>
      <c r="B89" s="321" t="s">
        <v>98</v>
      </c>
      <c r="C89" s="318" t="s">
        <v>578</v>
      </c>
      <c r="D89">
        <v>13565</v>
      </c>
      <c r="E89" s="143">
        <v>142000</v>
      </c>
      <c r="F89" s="117">
        <v>1404</v>
      </c>
      <c r="G89" s="321" t="s">
        <v>303</v>
      </c>
      <c r="H89" s="144">
        <f>bargiri[[#This Row],[میزان بارگیری شده]]*bargiri[[#This Row],[فی]]</f>
        <v>1926230000</v>
      </c>
      <c r="I89" s="321">
        <f>IF(year=bargiri[[#This Row],[سال]],1,0)</f>
        <v>1</v>
      </c>
      <c r="X89" s="1"/>
      <c r="Y89" s="1"/>
      <c r="Z89" s="1"/>
    </row>
    <row r="90" spans="1:26" ht="18.600000000000001" hidden="1" x14ac:dyDescent="0.25">
      <c r="A90" s="321" t="s">
        <v>740</v>
      </c>
      <c r="B90" s="321" t="s">
        <v>125</v>
      </c>
      <c r="C90" s="318" t="s">
        <v>577</v>
      </c>
      <c r="D90">
        <v>13880</v>
      </c>
      <c r="E90" s="143">
        <v>142000</v>
      </c>
      <c r="F90" s="117">
        <v>1404</v>
      </c>
      <c r="G90" s="321" t="s">
        <v>303</v>
      </c>
      <c r="H90" s="144">
        <f>bargiri[[#This Row],[میزان بارگیری شده]]*bargiri[[#This Row],[فی]]</f>
        <v>1970960000</v>
      </c>
      <c r="I90" s="321">
        <f>IF(year=bargiri[[#This Row],[سال]],1,0)</f>
        <v>1</v>
      </c>
      <c r="X90" s="1"/>
      <c r="Y90" s="1"/>
      <c r="Z90" s="1"/>
    </row>
    <row r="91" spans="1:26" ht="18.600000000000001" hidden="1" x14ac:dyDescent="0.25">
      <c r="A91" s="321" t="s">
        <v>740</v>
      </c>
      <c r="B91" s="321" t="s">
        <v>99</v>
      </c>
      <c r="C91" s="318" t="s">
        <v>12</v>
      </c>
      <c r="D91">
        <v>18940</v>
      </c>
      <c r="E91" s="143">
        <v>86500</v>
      </c>
      <c r="F91" s="117">
        <v>1404</v>
      </c>
      <c r="G91" s="321" t="s">
        <v>303</v>
      </c>
      <c r="H91" s="144">
        <f>bargiri[[#This Row],[میزان بارگیری شده]]*bargiri[[#This Row],[فی]]</f>
        <v>1638310000</v>
      </c>
      <c r="I91" s="321">
        <f>IF(year=bargiri[[#This Row],[سال]],1,0)</f>
        <v>1</v>
      </c>
      <c r="X91" s="1"/>
      <c r="Y91" s="1"/>
      <c r="Z91" s="1"/>
    </row>
    <row r="92" spans="1:26" ht="18.600000000000001" hidden="1" x14ac:dyDescent="0.25">
      <c r="A92" s="321" t="s">
        <v>734</v>
      </c>
      <c r="B92" s="321" t="s">
        <v>116</v>
      </c>
      <c r="C92" s="318" t="s">
        <v>616</v>
      </c>
      <c r="D92">
        <v>17790</v>
      </c>
      <c r="E92" s="143">
        <v>95000</v>
      </c>
      <c r="F92" s="117">
        <v>1404</v>
      </c>
      <c r="G92" s="321" t="s">
        <v>303</v>
      </c>
      <c r="H92" s="144">
        <f>bargiri[[#This Row],[میزان بارگیری شده]]*bargiri[[#This Row],[فی]]</f>
        <v>1690050000</v>
      </c>
      <c r="I92" s="321">
        <f>IF(year=bargiri[[#This Row],[سال]],1,0)</f>
        <v>1</v>
      </c>
      <c r="X92" s="1"/>
      <c r="Y92" s="1"/>
      <c r="Z92" s="1"/>
    </row>
    <row r="93" spans="1:26" ht="18.600000000000001" x14ac:dyDescent="0.25">
      <c r="A93" s="321" t="s">
        <v>734</v>
      </c>
      <c r="B93" s="321" t="s">
        <v>118</v>
      </c>
      <c r="C93" s="318" t="s">
        <v>84</v>
      </c>
      <c r="D93">
        <v>20575</v>
      </c>
      <c r="E93" s="143">
        <v>57273</v>
      </c>
      <c r="F93" s="117">
        <v>1404</v>
      </c>
      <c r="G93" s="321" t="s">
        <v>303</v>
      </c>
      <c r="H93" s="144">
        <f>bargiri[[#This Row],[میزان بارگیری شده]]*bargiri[[#This Row],[فی]]</f>
        <v>1178391975</v>
      </c>
      <c r="I93" s="321">
        <f>IF(year=bargiri[[#This Row],[سال]],1,0)</f>
        <v>1</v>
      </c>
      <c r="X93" s="1"/>
      <c r="Y93" s="1"/>
      <c r="Z93" s="1"/>
    </row>
    <row r="94" spans="1:26" ht="18.600000000000001" x14ac:dyDescent="0.25">
      <c r="A94" s="321" t="s">
        <v>734</v>
      </c>
      <c r="B94" s="321" t="s">
        <v>118</v>
      </c>
      <c r="C94" s="318" t="s">
        <v>84</v>
      </c>
      <c r="D94">
        <v>20360</v>
      </c>
      <c r="E94" s="143">
        <v>57273</v>
      </c>
      <c r="F94" s="117">
        <v>1404</v>
      </c>
      <c r="G94" s="321" t="s">
        <v>303</v>
      </c>
      <c r="H94" s="144">
        <f>bargiri[[#This Row],[میزان بارگیری شده]]*bargiri[[#This Row],[فی]]</f>
        <v>1166078280</v>
      </c>
      <c r="I94" s="321">
        <f>IF(year=bargiri[[#This Row],[سال]],1,0)</f>
        <v>1</v>
      </c>
      <c r="X94" s="1"/>
      <c r="Y94" s="1"/>
      <c r="Z94" s="1"/>
    </row>
    <row r="95" spans="1:26" ht="18.600000000000001" hidden="1" x14ac:dyDescent="0.25">
      <c r="A95" s="321" t="s">
        <v>734</v>
      </c>
      <c r="B95" s="321" t="s">
        <v>114</v>
      </c>
      <c r="C95" s="318" t="s">
        <v>62</v>
      </c>
      <c r="D95">
        <v>20260</v>
      </c>
      <c r="E95" s="143">
        <v>75000</v>
      </c>
      <c r="F95" s="117">
        <v>1404</v>
      </c>
      <c r="G95" s="321" t="s">
        <v>303</v>
      </c>
      <c r="H95" s="144">
        <f>bargiri[[#This Row],[میزان بارگیری شده]]*bargiri[[#This Row],[فی]]</f>
        <v>1519500000</v>
      </c>
      <c r="I95" s="321">
        <f>IF(year=bargiri[[#This Row],[سال]],1,0)</f>
        <v>1</v>
      </c>
      <c r="X95" s="1"/>
      <c r="Y95" s="1"/>
      <c r="Z95" s="1"/>
    </row>
    <row r="96" spans="1:26" ht="18.600000000000001" hidden="1" x14ac:dyDescent="0.25">
      <c r="A96" s="321" t="s">
        <v>734</v>
      </c>
      <c r="B96" s="321" t="s">
        <v>117</v>
      </c>
      <c r="C96" s="318" t="s">
        <v>722</v>
      </c>
      <c r="D96">
        <v>18940</v>
      </c>
      <c r="E96" s="143">
        <v>167500</v>
      </c>
      <c r="F96" s="117">
        <v>1404</v>
      </c>
      <c r="G96" s="321" t="s">
        <v>303</v>
      </c>
      <c r="H96" s="144">
        <f>bargiri[[#This Row],[میزان بارگیری شده]]*bargiri[[#This Row],[فی]]</f>
        <v>3172450000</v>
      </c>
      <c r="I96" s="321">
        <f>IF(year=bargiri[[#This Row],[سال]],1,0)</f>
        <v>1</v>
      </c>
      <c r="X96" s="1"/>
      <c r="Y96" s="1"/>
      <c r="Z96" s="1"/>
    </row>
    <row r="97" spans="1:26" ht="18.600000000000001" hidden="1" x14ac:dyDescent="0.25">
      <c r="A97" s="321" t="s">
        <v>734</v>
      </c>
      <c r="B97" s="321" t="s">
        <v>102</v>
      </c>
      <c r="C97" s="318" t="s">
        <v>24</v>
      </c>
      <c r="D97">
        <v>8000</v>
      </c>
      <c r="E97" s="143">
        <v>70000</v>
      </c>
      <c r="F97" s="117">
        <v>1404</v>
      </c>
      <c r="G97" s="321" t="s">
        <v>303</v>
      </c>
      <c r="H97" s="144">
        <f>bargiri[[#This Row],[میزان بارگیری شده]]*bargiri[[#This Row],[فی]]</f>
        <v>560000000</v>
      </c>
      <c r="I97" s="321">
        <f>IF(year=bargiri[[#This Row],[سال]],1,0)</f>
        <v>1</v>
      </c>
      <c r="X97" s="1"/>
      <c r="Y97" s="1"/>
      <c r="Z97" s="1"/>
    </row>
    <row r="98" spans="1:26" ht="18.600000000000001" x14ac:dyDescent="0.25">
      <c r="A98" s="321" t="s">
        <v>734</v>
      </c>
      <c r="B98" s="321" t="s">
        <v>118</v>
      </c>
      <c r="C98" s="318" t="s">
        <v>84</v>
      </c>
      <c r="D98">
        <v>19915</v>
      </c>
      <c r="E98" s="143">
        <v>57273</v>
      </c>
      <c r="F98" s="117">
        <v>1404</v>
      </c>
      <c r="G98" s="321" t="s">
        <v>303</v>
      </c>
      <c r="H98" s="144">
        <f>bargiri[[#This Row],[میزان بارگیری شده]]*bargiri[[#This Row],[فی]]</f>
        <v>1140591795</v>
      </c>
      <c r="I98" s="321">
        <f>IF(year=bargiri[[#This Row],[سال]],1,0)</f>
        <v>1</v>
      </c>
      <c r="X98" s="1"/>
      <c r="Y98" s="1"/>
      <c r="Z98" s="1"/>
    </row>
    <row r="99" spans="1:26" ht="18.600000000000001" x14ac:dyDescent="0.25">
      <c r="A99" s="321" t="s">
        <v>734</v>
      </c>
      <c r="B99" s="321" t="s">
        <v>118</v>
      </c>
      <c r="C99" s="318" t="s">
        <v>84</v>
      </c>
      <c r="D99">
        <v>20405</v>
      </c>
      <c r="E99" s="143">
        <v>57273</v>
      </c>
      <c r="F99" s="117">
        <v>1404</v>
      </c>
      <c r="G99" s="321" t="s">
        <v>303</v>
      </c>
      <c r="H99" s="144">
        <f>bargiri[[#This Row],[میزان بارگیری شده]]*bargiri[[#This Row],[فی]]</f>
        <v>1168655565</v>
      </c>
      <c r="I99" s="321">
        <f>IF(year=bargiri[[#This Row],[سال]],1,0)</f>
        <v>1</v>
      </c>
      <c r="X99" s="1"/>
      <c r="Y99" s="1"/>
      <c r="Z99" s="1"/>
    </row>
    <row r="100" spans="1:26" ht="18.600000000000001" hidden="1" x14ac:dyDescent="0.25">
      <c r="A100" s="321" t="s">
        <v>735</v>
      </c>
      <c r="B100" s="321" t="s">
        <v>101</v>
      </c>
      <c r="C100" s="318" t="s">
        <v>19</v>
      </c>
      <c r="D100">
        <v>22010</v>
      </c>
      <c r="E100" s="143">
        <v>75000</v>
      </c>
      <c r="F100" s="117">
        <v>1404</v>
      </c>
      <c r="G100" s="321" t="s">
        <v>303</v>
      </c>
      <c r="H100" s="144">
        <f>bargiri[[#This Row],[میزان بارگیری شده]]*bargiri[[#This Row],[فی]]</f>
        <v>1650750000</v>
      </c>
      <c r="I100" s="321">
        <f>IF(year=bargiri[[#This Row],[سال]],1,0)</f>
        <v>1</v>
      </c>
      <c r="X100" s="1"/>
      <c r="Y100" s="1"/>
      <c r="Z100" s="1"/>
    </row>
    <row r="101" spans="1:26" ht="18.600000000000001" hidden="1" x14ac:dyDescent="0.25">
      <c r="A101" s="321" t="s">
        <v>736</v>
      </c>
      <c r="B101" s="321" t="s">
        <v>116</v>
      </c>
      <c r="C101" s="318" t="s">
        <v>616</v>
      </c>
      <c r="D101">
        <v>19995</v>
      </c>
      <c r="E101" s="143">
        <v>95000</v>
      </c>
      <c r="F101" s="117">
        <v>1404</v>
      </c>
      <c r="G101" s="321" t="s">
        <v>303</v>
      </c>
      <c r="H101" s="144">
        <f>bargiri[[#This Row],[میزان بارگیری شده]]*bargiri[[#This Row],[فی]]</f>
        <v>1899525000</v>
      </c>
      <c r="I101" s="321">
        <f>IF(year=bargiri[[#This Row],[سال]],1,0)</f>
        <v>1</v>
      </c>
      <c r="X101" s="1"/>
      <c r="Y101" s="1"/>
      <c r="Z101" s="1"/>
    </row>
    <row r="102" spans="1:26" ht="18.600000000000001" hidden="1" x14ac:dyDescent="0.25">
      <c r="A102" s="321" t="s">
        <v>736</v>
      </c>
      <c r="B102" s="321" t="s">
        <v>99</v>
      </c>
      <c r="C102" s="318" t="s">
        <v>12</v>
      </c>
      <c r="D102">
        <v>19660</v>
      </c>
      <c r="E102" s="143">
        <v>86500</v>
      </c>
      <c r="F102" s="117">
        <v>1404</v>
      </c>
      <c r="G102" s="321" t="s">
        <v>303</v>
      </c>
      <c r="H102" s="144">
        <f>bargiri[[#This Row],[میزان بارگیری شده]]*bargiri[[#This Row],[فی]]</f>
        <v>1700590000</v>
      </c>
      <c r="I102" s="321">
        <f>IF(year=bargiri[[#This Row],[سال]],1,0)</f>
        <v>1</v>
      </c>
      <c r="X102" s="1"/>
      <c r="Y102" s="1"/>
      <c r="Z102" s="1"/>
    </row>
    <row r="103" spans="1:26" ht="18.600000000000001" hidden="1" x14ac:dyDescent="0.25">
      <c r="A103" s="321" t="s">
        <v>737</v>
      </c>
      <c r="B103" s="321" t="s">
        <v>116</v>
      </c>
      <c r="C103" s="318" t="s">
        <v>616</v>
      </c>
      <c r="D103">
        <v>20015</v>
      </c>
      <c r="E103" s="143">
        <v>95000</v>
      </c>
      <c r="F103" s="117">
        <v>1404</v>
      </c>
      <c r="G103" s="321" t="s">
        <v>303</v>
      </c>
      <c r="H103" s="144">
        <f>bargiri[[#This Row],[میزان بارگیری شده]]*bargiri[[#This Row],[فی]]</f>
        <v>1901425000</v>
      </c>
      <c r="I103" s="321">
        <f>IF(year=bargiri[[#This Row],[سال]],1,0)</f>
        <v>1</v>
      </c>
      <c r="X103" s="1"/>
      <c r="Y103" s="1"/>
      <c r="Z103" s="1"/>
    </row>
    <row r="104" spans="1:26" ht="18.600000000000001" hidden="1" x14ac:dyDescent="0.25">
      <c r="A104" s="321" t="s">
        <v>737</v>
      </c>
      <c r="B104" s="321" t="s">
        <v>116</v>
      </c>
      <c r="C104" s="318" t="s">
        <v>616</v>
      </c>
      <c r="D104">
        <v>19965</v>
      </c>
      <c r="E104" s="143">
        <v>95000</v>
      </c>
      <c r="F104" s="117">
        <v>1404</v>
      </c>
      <c r="G104" s="321" t="s">
        <v>303</v>
      </c>
      <c r="H104" s="144">
        <f>bargiri[[#This Row],[میزان بارگیری شده]]*bargiri[[#This Row],[فی]]</f>
        <v>1896675000</v>
      </c>
      <c r="I104" s="321">
        <f>IF(year=bargiri[[#This Row],[سال]],1,0)</f>
        <v>1</v>
      </c>
      <c r="X104" s="1"/>
      <c r="Y104" s="1"/>
      <c r="Z104" s="1"/>
    </row>
    <row r="105" spans="1:26" ht="18.600000000000001" hidden="1" x14ac:dyDescent="0.25">
      <c r="A105" s="321" t="s">
        <v>737</v>
      </c>
      <c r="B105" s="321" t="s">
        <v>123</v>
      </c>
      <c r="C105" s="318" t="s">
        <v>576</v>
      </c>
      <c r="D105">
        <v>7805</v>
      </c>
      <c r="E105" s="143">
        <v>142000</v>
      </c>
      <c r="F105" s="117">
        <v>1404</v>
      </c>
      <c r="G105" s="321" t="s">
        <v>303</v>
      </c>
      <c r="H105" s="144">
        <f>bargiri[[#This Row],[میزان بارگیری شده]]*bargiri[[#This Row],[فی]]</f>
        <v>1108310000</v>
      </c>
      <c r="I105" s="321">
        <f>IF(year=bargiri[[#This Row],[سال]],1,0)</f>
        <v>1</v>
      </c>
      <c r="X105" s="1"/>
      <c r="Y105" s="1"/>
      <c r="Z105" s="1"/>
    </row>
    <row r="106" spans="1:26" ht="18.600000000000001" hidden="1" x14ac:dyDescent="0.25">
      <c r="A106" s="321" t="s">
        <v>738</v>
      </c>
      <c r="B106" s="321" t="s">
        <v>106</v>
      </c>
      <c r="C106" s="318" t="s">
        <v>44</v>
      </c>
      <c r="D106">
        <v>18305</v>
      </c>
      <c r="E106" s="143">
        <v>80000</v>
      </c>
      <c r="F106" s="117">
        <v>1404</v>
      </c>
      <c r="G106" s="321" t="s">
        <v>303</v>
      </c>
      <c r="H106" s="144">
        <f>bargiri[[#This Row],[میزان بارگیری شده]]*bargiri[[#This Row],[فی]]</f>
        <v>1464400000</v>
      </c>
      <c r="I106" s="321">
        <f>IF(year=bargiri[[#This Row],[سال]],1,0)</f>
        <v>1</v>
      </c>
      <c r="X106" s="1"/>
      <c r="Y106" s="1"/>
      <c r="Z106" s="1"/>
    </row>
    <row r="107" spans="1:26" ht="18.600000000000001" hidden="1" x14ac:dyDescent="0.25">
      <c r="A107" s="321" t="s">
        <v>738</v>
      </c>
      <c r="B107" s="321" t="s">
        <v>103</v>
      </c>
      <c r="C107" s="318" t="s">
        <v>566</v>
      </c>
      <c r="D107">
        <v>7460</v>
      </c>
      <c r="E107" s="143">
        <v>142000</v>
      </c>
      <c r="F107" s="117">
        <v>1404</v>
      </c>
      <c r="G107" s="321" t="s">
        <v>303</v>
      </c>
      <c r="H107" s="144">
        <f>bargiri[[#This Row],[میزان بارگیری شده]]*bargiri[[#This Row],[فی]]</f>
        <v>1059320000</v>
      </c>
      <c r="I107" s="321">
        <f>IF(year=bargiri[[#This Row],[سال]],1,0)</f>
        <v>1</v>
      </c>
      <c r="X107" s="1"/>
      <c r="Y107" s="1"/>
      <c r="Z107" s="1"/>
    </row>
    <row r="108" spans="1:26" ht="18.600000000000001" x14ac:dyDescent="0.25">
      <c r="A108" s="321" t="s">
        <v>738</v>
      </c>
      <c r="B108" s="321" t="s">
        <v>118</v>
      </c>
      <c r="C108" s="318" t="s">
        <v>84</v>
      </c>
      <c r="D108">
        <v>20385</v>
      </c>
      <c r="E108" s="143">
        <v>57273</v>
      </c>
      <c r="F108" s="117">
        <v>1404</v>
      </c>
      <c r="G108" s="321" t="s">
        <v>303</v>
      </c>
      <c r="H108" s="144">
        <f>bargiri[[#This Row],[میزان بارگیری شده]]*bargiri[[#This Row],[فی]]</f>
        <v>1167510105</v>
      </c>
      <c r="I108" s="321">
        <f>IF(year=bargiri[[#This Row],[سال]],1,0)</f>
        <v>1</v>
      </c>
      <c r="X108" s="1"/>
      <c r="Y108" s="1"/>
      <c r="Z108" s="1"/>
    </row>
    <row r="109" spans="1:26" ht="18.600000000000001" x14ac:dyDescent="0.25">
      <c r="A109" s="321" t="s">
        <v>738</v>
      </c>
      <c r="B109" s="321" t="s">
        <v>118</v>
      </c>
      <c r="C109" s="318" t="s">
        <v>84</v>
      </c>
      <c r="D109">
        <v>20540</v>
      </c>
      <c r="E109" s="143">
        <v>57273</v>
      </c>
      <c r="F109" s="117">
        <v>1404</v>
      </c>
      <c r="G109" s="321" t="s">
        <v>303</v>
      </c>
      <c r="H109" s="144">
        <f>bargiri[[#This Row],[میزان بارگیری شده]]*bargiri[[#This Row],[فی]]</f>
        <v>1176387420</v>
      </c>
      <c r="I109" s="321">
        <f>IF(year=bargiri[[#This Row],[سال]],1,0)</f>
        <v>1</v>
      </c>
      <c r="X109" s="1"/>
      <c r="Y109" s="1"/>
      <c r="Z109" s="1"/>
    </row>
    <row r="110" spans="1:26" ht="18.600000000000001" hidden="1" x14ac:dyDescent="0.25">
      <c r="A110" s="321" t="s">
        <v>738</v>
      </c>
      <c r="B110" s="321" t="s">
        <v>109</v>
      </c>
      <c r="C110" s="318" t="s">
        <v>570</v>
      </c>
      <c r="D110">
        <v>7270</v>
      </c>
      <c r="E110" s="143">
        <v>142000</v>
      </c>
      <c r="F110" s="117">
        <v>1404</v>
      </c>
      <c r="G110" s="321" t="s">
        <v>303</v>
      </c>
      <c r="H110" s="144">
        <f>bargiri[[#This Row],[میزان بارگیری شده]]*bargiri[[#This Row],[فی]]</f>
        <v>1032340000</v>
      </c>
      <c r="I110" s="321">
        <f>IF(year=bargiri[[#This Row],[سال]],1,0)</f>
        <v>1</v>
      </c>
      <c r="X110" s="1"/>
      <c r="Y110" s="1"/>
      <c r="Z110" s="1"/>
    </row>
    <row r="111" spans="1:26" ht="18.600000000000001" x14ac:dyDescent="0.25">
      <c r="A111" s="321" t="s">
        <v>738</v>
      </c>
      <c r="B111" s="321" t="s">
        <v>118</v>
      </c>
      <c r="C111" s="318" t="s">
        <v>84</v>
      </c>
      <c r="D111">
        <v>20410</v>
      </c>
      <c r="E111" s="143">
        <v>57273</v>
      </c>
      <c r="F111" s="117">
        <v>1404</v>
      </c>
      <c r="G111" s="321" t="s">
        <v>303</v>
      </c>
      <c r="H111" s="144">
        <f>bargiri[[#This Row],[میزان بارگیری شده]]*bargiri[[#This Row],[فی]]</f>
        <v>1168941930</v>
      </c>
      <c r="I111" s="321">
        <f>IF(year=bargiri[[#This Row],[سال]],1,0)</f>
        <v>1</v>
      </c>
      <c r="X111" s="1"/>
      <c r="Y111" s="1"/>
      <c r="Z111" s="1"/>
    </row>
    <row r="112" spans="1:26" ht="18.600000000000001" hidden="1" x14ac:dyDescent="0.25">
      <c r="A112" s="321" t="s">
        <v>728</v>
      </c>
      <c r="B112" s="321" t="s">
        <v>98</v>
      </c>
      <c r="C112" s="318" t="s">
        <v>631</v>
      </c>
      <c r="D112">
        <v>18405</v>
      </c>
      <c r="E112" s="143">
        <v>167500</v>
      </c>
      <c r="F112" s="117">
        <v>1404</v>
      </c>
      <c r="G112" s="321" t="s">
        <v>304</v>
      </c>
      <c r="H112" s="144">
        <f>bargiri[[#This Row],[میزان بارگیری شده]]*bargiri[[#This Row],[فی]]</f>
        <v>3082837500</v>
      </c>
      <c r="I112" s="321">
        <f>IF(year=bargiri[[#This Row],[سال]],1,0)</f>
        <v>1</v>
      </c>
      <c r="X112" s="1"/>
      <c r="Y112" s="1"/>
      <c r="Z112" s="1"/>
    </row>
    <row r="113" spans="1:26" ht="18.600000000000001" hidden="1" x14ac:dyDescent="0.25">
      <c r="A113" s="321" t="s">
        <v>728</v>
      </c>
      <c r="B113" s="321" t="s">
        <v>116</v>
      </c>
      <c r="C113" s="318" t="s">
        <v>616</v>
      </c>
      <c r="D113">
        <v>18980</v>
      </c>
      <c r="E113" s="143">
        <v>95000</v>
      </c>
      <c r="F113" s="117">
        <v>1404</v>
      </c>
      <c r="G113" s="321" t="s">
        <v>304</v>
      </c>
      <c r="H113" s="144">
        <f>bargiri[[#This Row],[میزان بارگیری شده]]*bargiri[[#This Row],[فی]]</f>
        <v>1803100000</v>
      </c>
      <c r="I113" s="321">
        <f>IF(year=bargiri[[#This Row],[سال]],1,0)</f>
        <v>1</v>
      </c>
      <c r="X113" s="1"/>
      <c r="Y113" s="1"/>
      <c r="Z113" s="1"/>
    </row>
    <row r="114" spans="1:26" ht="18.600000000000001" hidden="1" x14ac:dyDescent="0.25">
      <c r="A114" s="321" t="s">
        <v>728</v>
      </c>
      <c r="B114" s="321" t="s">
        <v>114</v>
      </c>
      <c r="C114" s="318" t="s">
        <v>62</v>
      </c>
      <c r="D114">
        <v>21905</v>
      </c>
      <c r="E114" s="143">
        <v>75000</v>
      </c>
      <c r="F114" s="117">
        <v>1404</v>
      </c>
      <c r="G114" s="321" t="s">
        <v>304</v>
      </c>
      <c r="H114" s="144">
        <f>bargiri[[#This Row],[میزان بارگیری شده]]*bargiri[[#This Row],[فی]]</f>
        <v>1642875000</v>
      </c>
      <c r="I114" s="321">
        <f>IF(year=bargiri[[#This Row],[سال]],1,0)</f>
        <v>1</v>
      </c>
      <c r="X114" s="1"/>
      <c r="Y114" s="1"/>
      <c r="Z114" s="1"/>
    </row>
    <row r="115" spans="1:26" ht="18.600000000000001" hidden="1" x14ac:dyDescent="0.25">
      <c r="A115" s="321" t="s">
        <v>728</v>
      </c>
      <c r="B115" s="321" t="s">
        <v>98</v>
      </c>
      <c r="C115" s="318" t="s">
        <v>651</v>
      </c>
      <c r="D115">
        <v>17570</v>
      </c>
      <c r="E115" s="143">
        <v>151200</v>
      </c>
      <c r="F115" s="117">
        <v>1404</v>
      </c>
      <c r="G115" s="321" t="s">
        <v>304</v>
      </c>
      <c r="H115" s="144">
        <f>bargiri[[#This Row],[میزان بارگیری شده]]*bargiri[[#This Row],[فی]]</f>
        <v>2656584000</v>
      </c>
      <c r="I115" s="321">
        <f>IF(year=bargiri[[#This Row],[سال]],1,0)</f>
        <v>1</v>
      </c>
      <c r="X115" s="1"/>
      <c r="Y115" s="1"/>
      <c r="Z115" s="1"/>
    </row>
    <row r="116" spans="1:26" ht="18.600000000000001" hidden="1" x14ac:dyDescent="0.25">
      <c r="A116" s="321" t="s">
        <v>728</v>
      </c>
      <c r="B116" s="321" t="s">
        <v>98</v>
      </c>
      <c r="C116" s="318" t="s">
        <v>631</v>
      </c>
      <c r="D116">
        <v>3090</v>
      </c>
      <c r="E116" s="143">
        <v>167500</v>
      </c>
      <c r="F116" s="117">
        <v>1404</v>
      </c>
      <c r="G116" s="321" t="s">
        <v>304</v>
      </c>
      <c r="H116" s="144">
        <f>bargiri[[#This Row],[میزان بارگیری شده]]*bargiri[[#This Row],[فی]]</f>
        <v>517575000</v>
      </c>
      <c r="I116" s="321">
        <f>IF(year=bargiri[[#This Row],[سال]],1,0)</f>
        <v>1</v>
      </c>
      <c r="X116" s="1"/>
      <c r="Y116" s="1"/>
      <c r="Z116" s="1"/>
    </row>
    <row r="117" spans="1:26" ht="18.600000000000001" hidden="1" x14ac:dyDescent="0.25">
      <c r="A117" s="321" t="s">
        <v>728</v>
      </c>
      <c r="B117" s="321" t="s">
        <v>104</v>
      </c>
      <c r="C117" s="318" t="s">
        <v>569</v>
      </c>
      <c r="D117">
        <v>17985</v>
      </c>
      <c r="E117" s="143">
        <v>142000</v>
      </c>
      <c r="F117" s="117">
        <v>1404</v>
      </c>
      <c r="G117" s="321" t="s">
        <v>304</v>
      </c>
      <c r="H117" s="144">
        <f>bargiri[[#This Row],[میزان بارگیری شده]]*bargiri[[#This Row],[فی]]</f>
        <v>2553870000</v>
      </c>
      <c r="I117" s="321">
        <f>IF(year=bargiri[[#This Row],[سال]],1,0)</f>
        <v>1</v>
      </c>
      <c r="X117" s="1"/>
      <c r="Y117" s="1"/>
      <c r="Z117" s="1"/>
    </row>
    <row r="118" spans="1:26" ht="18.600000000000001" hidden="1" x14ac:dyDescent="0.25">
      <c r="A118" s="321" t="s">
        <v>727</v>
      </c>
      <c r="B118" s="321" t="s">
        <v>117</v>
      </c>
      <c r="C118" s="318" t="s">
        <v>660</v>
      </c>
      <c r="D118">
        <v>10030</v>
      </c>
      <c r="E118" s="143">
        <v>201000</v>
      </c>
      <c r="F118" s="117">
        <v>1404</v>
      </c>
      <c r="G118" s="321" t="s">
        <v>304</v>
      </c>
      <c r="H118" s="144">
        <f>bargiri[[#This Row],[میزان بارگیری شده]]*bargiri[[#This Row],[فی]]</f>
        <v>2016030000</v>
      </c>
      <c r="I118" s="321">
        <f>IF(year=bargiri[[#This Row],[سال]],1,0)</f>
        <v>1</v>
      </c>
      <c r="X118" s="1"/>
      <c r="Y118" s="1"/>
      <c r="Z118" s="1"/>
    </row>
    <row r="119" spans="1:26" ht="18.600000000000001" hidden="1" x14ac:dyDescent="0.25">
      <c r="A119" s="321" t="s">
        <v>727</v>
      </c>
      <c r="B119" s="321" t="s">
        <v>117</v>
      </c>
      <c r="C119" s="318" t="s">
        <v>573</v>
      </c>
      <c r="D119">
        <v>9945</v>
      </c>
      <c r="E119" s="143">
        <v>142000</v>
      </c>
      <c r="F119" s="117">
        <v>1404</v>
      </c>
      <c r="G119" s="321" t="s">
        <v>304</v>
      </c>
      <c r="H119" s="144">
        <f>bargiri[[#This Row],[میزان بارگیری شده]]*bargiri[[#This Row],[فی]]</f>
        <v>1412190000</v>
      </c>
      <c r="I119" s="321">
        <f>IF(year=bargiri[[#This Row],[سال]],1,0)</f>
        <v>1</v>
      </c>
      <c r="X119" s="1"/>
      <c r="Y119" s="1"/>
      <c r="Z119" s="1"/>
    </row>
    <row r="120" spans="1:26" ht="18.600000000000001" hidden="1" x14ac:dyDescent="0.25">
      <c r="A120" s="321" t="s">
        <v>727</v>
      </c>
      <c r="B120" s="321" t="s">
        <v>104</v>
      </c>
      <c r="C120" s="318" t="s">
        <v>569</v>
      </c>
      <c r="D120">
        <v>18035</v>
      </c>
      <c r="E120" s="143">
        <v>142000</v>
      </c>
      <c r="F120" s="117">
        <v>1404</v>
      </c>
      <c r="G120" s="321" t="s">
        <v>304</v>
      </c>
      <c r="H120" s="144">
        <f>bargiri[[#This Row],[میزان بارگیری شده]]*bargiri[[#This Row],[فی]]</f>
        <v>2560970000</v>
      </c>
      <c r="I120" s="321">
        <f>IF(year=bargiri[[#This Row],[سال]],1,0)</f>
        <v>1</v>
      </c>
      <c r="X120" s="1"/>
      <c r="Y120" s="1"/>
      <c r="Z120" s="1"/>
    </row>
    <row r="121" spans="1:26" ht="18.600000000000001" hidden="1" x14ac:dyDescent="0.25">
      <c r="A121" s="321" t="s">
        <v>727</v>
      </c>
      <c r="B121" s="321" t="s">
        <v>100</v>
      </c>
      <c r="C121" s="318" t="s">
        <v>561</v>
      </c>
      <c r="D121">
        <v>19970</v>
      </c>
      <c r="E121" s="143">
        <v>142000</v>
      </c>
      <c r="F121" s="117">
        <v>1404</v>
      </c>
      <c r="G121" s="321" t="s">
        <v>304</v>
      </c>
      <c r="H121" s="144">
        <f>bargiri[[#This Row],[میزان بارگیری شده]]*bargiri[[#This Row],[فی]]</f>
        <v>2835740000</v>
      </c>
      <c r="I121" s="321">
        <f>IF(year=bargiri[[#This Row],[سال]],1,0)</f>
        <v>1</v>
      </c>
      <c r="X121" s="1"/>
      <c r="Y121" s="1"/>
      <c r="Z121" s="1"/>
    </row>
    <row r="122" spans="1:26" ht="18.600000000000001" hidden="1" x14ac:dyDescent="0.25">
      <c r="A122" s="321" t="s">
        <v>726</v>
      </c>
      <c r="B122" s="321" t="s">
        <v>116</v>
      </c>
      <c r="C122" s="318" t="s">
        <v>616</v>
      </c>
      <c r="D122">
        <v>19020</v>
      </c>
      <c r="E122" s="143">
        <v>95000</v>
      </c>
      <c r="F122" s="117">
        <v>1404</v>
      </c>
      <c r="G122" s="321" t="s">
        <v>304</v>
      </c>
      <c r="H122" s="144">
        <f>bargiri[[#This Row],[میزان بارگیری شده]]*bargiri[[#This Row],[فی]]</f>
        <v>1806900000</v>
      </c>
      <c r="I122" s="321">
        <f>IF(year=bargiri[[#This Row],[سال]],1,0)</f>
        <v>1</v>
      </c>
      <c r="X122" s="1"/>
      <c r="Y122" s="1"/>
      <c r="Z122" s="1"/>
    </row>
    <row r="123" spans="1:26" ht="18.600000000000001" x14ac:dyDescent="0.25">
      <c r="A123" s="321" t="s">
        <v>726</v>
      </c>
      <c r="B123" s="321" t="s">
        <v>118</v>
      </c>
      <c r="C123" s="318" t="s">
        <v>84</v>
      </c>
      <c r="D123">
        <v>21025</v>
      </c>
      <c r="E123" s="143">
        <v>57273</v>
      </c>
      <c r="F123" s="117">
        <v>1404</v>
      </c>
      <c r="G123" s="321" t="s">
        <v>304</v>
      </c>
      <c r="H123" s="144">
        <f>bargiri[[#This Row],[میزان بارگیری شده]]*bargiri[[#This Row],[فی]]</f>
        <v>1204164825</v>
      </c>
      <c r="I123" s="321">
        <f>IF(year=bargiri[[#This Row],[سال]],1,0)</f>
        <v>1</v>
      </c>
      <c r="X123" s="1"/>
      <c r="Y123" s="1"/>
      <c r="Z123" s="1"/>
    </row>
    <row r="124" spans="1:26" ht="18.600000000000001" x14ac:dyDescent="0.25">
      <c r="A124" s="321" t="s">
        <v>726</v>
      </c>
      <c r="B124" s="321" t="s">
        <v>118</v>
      </c>
      <c r="C124" s="318" t="s">
        <v>84</v>
      </c>
      <c r="D124">
        <v>21035</v>
      </c>
      <c r="E124" s="143">
        <v>57273</v>
      </c>
      <c r="F124" s="117">
        <v>1404</v>
      </c>
      <c r="G124" s="321" t="s">
        <v>304</v>
      </c>
      <c r="H124" s="144">
        <f>bargiri[[#This Row],[میزان بارگیری شده]]*bargiri[[#This Row],[فی]]</f>
        <v>1204737555</v>
      </c>
      <c r="I124" s="321">
        <f>IF(year=bargiri[[#This Row],[سال]],1,0)</f>
        <v>1</v>
      </c>
      <c r="X124" s="1"/>
      <c r="Y124" s="1"/>
      <c r="Z124" s="1"/>
    </row>
    <row r="125" spans="1:26" ht="18.600000000000001" x14ac:dyDescent="0.25">
      <c r="A125" s="321" t="s">
        <v>726</v>
      </c>
      <c r="B125" s="321" t="s">
        <v>118</v>
      </c>
      <c r="C125" s="318" t="s">
        <v>84</v>
      </c>
      <c r="D125">
        <v>20950</v>
      </c>
      <c r="E125" s="143">
        <v>57273</v>
      </c>
      <c r="F125" s="117">
        <v>1404</v>
      </c>
      <c r="G125" s="321" t="s">
        <v>304</v>
      </c>
      <c r="H125" s="144">
        <f>bargiri[[#This Row],[میزان بارگیری شده]]*bargiri[[#This Row],[فی]]</f>
        <v>1199869350</v>
      </c>
      <c r="I125" s="321">
        <f>IF(year=bargiri[[#This Row],[سال]],1,0)</f>
        <v>1</v>
      </c>
      <c r="X125" s="1"/>
      <c r="Y125" s="1"/>
      <c r="Z125" s="1"/>
    </row>
    <row r="126" spans="1:26" ht="18.600000000000001" x14ac:dyDescent="0.25">
      <c r="A126" s="321" t="s">
        <v>726</v>
      </c>
      <c r="B126" s="321" t="s">
        <v>118</v>
      </c>
      <c r="C126" s="318" t="s">
        <v>84</v>
      </c>
      <c r="D126">
        <v>20600</v>
      </c>
      <c r="E126" s="143">
        <v>57273</v>
      </c>
      <c r="F126" s="117">
        <v>1404</v>
      </c>
      <c r="G126" s="321" t="s">
        <v>304</v>
      </c>
      <c r="H126" s="144">
        <f>bargiri[[#This Row],[میزان بارگیری شده]]*bargiri[[#This Row],[فی]]</f>
        <v>1179823800</v>
      </c>
      <c r="I126" s="321">
        <f>IF(year=bargiri[[#This Row],[سال]],1,0)</f>
        <v>1</v>
      </c>
      <c r="X126" s="1"/>
      <c r="Y126" s="1"/>
      <c r="Z126" s="1"/>
    </row>
    <row r="127" spans="1:26" ht="18.600000000000001" hidden="1" x14ac:dyDescent="0.25">
      <c r="A127" s="321" t="s">
        <v>726</v>
      </c>
      <c r="B127" s="321" t="s">
        <v>123</v>
      </c>
      <c r="C127" s="318" t="s">
        <v>576</v>
      </c>
      <c r="D127">
        <v>7870</v>
      </c>
      <c r="E127" s="143">
        <v>142000</v>
      </c>
      <c r="F127" s="117">
        <v>1404</v>
      </c>
      <c r="G127" s="321" t="s">
        <v>304</v>
      </c>
      <c r="H127" s="144">
        <f>bargiri[[#This Row],[میزان بارگیری شده]]*bargiri[[#This Row],[فی]]</f>
        <v>1117540000</v>
      </c>
      <c r="I127" s="321">
        <f>IF(year=bargiri[[#This Row],[سال]],1,0)</f>
        <v>1</v>
      </c>
      <c r="X127" s="1"/>
      <c r="Y127" s="1"/>
      <c r="Z127" s="1"/>
    </row>
    <row r="128" spans="1:26" ht="18.600000000000001" hidden="1" x14ac:dyDescent="0.25">
      <c r="A128" s="321" t="s">
        <v>716</v>
      </c>
      <c r="B128" s="321" t="s">
        <v>116</v>
      </c>
      <c r="C128" s="318" t="s">
        <v>539</v>
      </c>
      <c r="D128">
        <v>14800</v>
      </c>
      <c r="E128" s="143">
        <v>126000</v>
      </c>
      <c r="F128" s="117">
        <v>1404</v>
      </c>
      <c r="G128" s="321" t="s">
        <v>304</v>
      </c>
      <c r="H128" s="144">
        <f>bargiri[[#This Row],[میزان بارگیری شده]]*bargiri[[#This Row],[فی]]</f>
        <v>1864800000</v>
      </c>
      <c r="I128" s="321">
        <f>IF(year=bargiri[[#This Row],[سال]],1,0)</f>
        <v>1</v>
      </c>
      <c r="X128" s="1"/>
      <c r="Y128" s="1"/>
      <c r="Z128" s="1"/>
    </row>
    <row r="129" spans="1:26" ht="18.600000000000001" hidden="1" x14ac:dyDescent="0.25">
      <c r="A129" s="321" t="s">
        <v>716</v>
      </c>
      <c r="B129" s="321" t="s">
        <v>116</v>
      </c>
      <c r="C129" s="318" t="s">
        <v>616</v>
      </c>
      <c r="D129">
        <v>4910</v>
      </c>
      <c r="E129" s="143">
        <v>95000</v>
      </c>
      <c r="F129" s="117">
        <v>1404</v>
      </c>
      <c r="G129" s="321" t="s">
        <v>304</v>
      </c>
      <c r="H129" s="144">
        <f>bargiri[[#This Row],[میزان بارگیری شده]]*bargiri[[#This Row],[فی]]</f>
        <v>466450000</v>
      </c>
      <c r="I129" s="321">
        <f>IF(year=bargiri[[#This Row],[سال]],1,0)</f>
        <v>1</v>
      </c>
      <c r="X129" s="1"/>
      <c r="Y129" s="1"/>
      <c r="Z129" s="1"/>
    </row>
    <row r="130" spans="1:26" ht="18.600000000000001" hidden="1" x14ac:dyDescent="0.25">
      <c r="A130" s="321" t="s">
        <v>718</v>
      </c>
      <c r="B130" s="321" t="s">
        <v>101</v>
      </c>
      <c r="C130" s="318" t="s">
        <v>19</v>
      </c>
      <c r="D130">
        <v>21970</v>
      </c>
      <c r="E130" s="143">
        <v>75000</v>
      </c>
      <c r="F130" s="117">
        <v>1404</v>
      </c>
      <c r="G130" s="321" t="s">
        <v>304</v>
      </c>
      <c r="H130" s="144">
        <f>bargiri[[#This Row],[میزان بارگیری شده]]*bargiri[[#This Row],[فی]]</f>
        <v>1647750000</v>
      </c>
      <c r="I130" s="321">
        <f>IF(year=bargiri[[#This Row],[سال]],1,0)</f>
        <v>1</v>
      </c>
      <c r="X130" s="1"/>
      <c r="Y130" s="1"/>
      <c r="Z130" s="1"/>
    </row>
    <row r="131" spans="1:26" ht="18.600000000000001" hidden="1" x14ac:dyDescent="0.25">
      <c r="A131" s="321" t="s">
        <v>718</v>
      </c>
      <c r="B131" s="321" t="s">
        <v>102</v>
      </c>
      <c r="C131" s="318" t="s">
        <v>24</v>
      </c>
      <c r="D131">
        <v>11435</v>
      </c>
      <c r="E131" s="143">
        <v>70000</v>
      </c>
      <c r="F131" s="117">
        <v>1404</v>
      </c>
      <c r="G131" s="321" t="s">
        <v>304</v>
      </c>
      <c r="H131" s="144">
        <f>bargiri[[#This Row],[میزان بارگیری شده]]*bargiri[[#This Row],[فی]]</f>
        <v>800450000</v>
      </c>
      <c r="I131" s="321">
        <f>IF(year=bargiri[[#This Row],[سال]],1,0)</f>
        <v>1</v>
      </c>
      <c r="X131" s="1"/>
      <c r="Y131" s="1"/>
      <c r="Z131" s="1"/>
    </row>
    <row r="132" spans="1:26" ht="18.600000000000001" hidden="1" x14ac:dyDescent="0.25">
      <c r="A132" s="321" t="s">
        <v>718</v>
      </c>
      <c r="B132" s="321" t="s">
        <v>109</v>
      </c>
      <c r="C132" s="318" t="s">
        <v>570</v>
      </c>
      <c r="D132">
        <v>7390</v>
      </c>
      <c r="E132" s="143">
        <v>142000</v>
      </c>
      <c r="F132" s="117">
        <v>1404</v>
      </c>
      <c r="G132" s="321" t="s">
        <v>304</v>
      </c>
      <c r="H132" s="144">
        <f>bargiri[[#This Row],[میزان بارگیری شده]]*bargiri[[#This Row],[فی]]</f>
        <v>1049380000</v>
      </c>
      <c r="I132" s="321">
        <f>IF(year=bargiri[[#This Row],[سال]],1,0)</f>
        <v>1</v>
      </c>
      <c r="X132" s="1"/>
      <c r="Y132" s="1"/>
      <c r="Z132" s="1"/>
    </row>
    <row r="133" spans="1:26" ht="18.600000000000001" hidden="1" x14ac:dyDescent="0.25">
      <c r="A133" s="321" t="s">
        <v>718</v>
      </c>
      <c r="B133" s="321" t="s">
        <v>109</v>
      </c>
      <c r="C133" s="318" t="s">
        <v>570</v>
      </c>
      <c r="D133">
        <v>7320</v>
      </c>
      <c r="E133" s="143">
        <v>142000</v>
      </c>
      <c r="F133" s="117">
        <v>1404</v>
      </c>
      <c r="G133" s="321" t="s">
        <v>304</v>
      </c>
      <c r="H133" s="144">
        <f>bargiri[[#This Row],[میزان بارگیری شده]]*bargiri[[#This Row],[فی]]</f>
        <v>1039440000</v>
      </c>
      <c r="I133" s="321">
        <f>IF(year=bargiri[[#This Row],[سال]],1,0)</f>
        <v>1</v>
      </c>
      <c r="X133" s="1"/>
      <c r="Y133" s="1"/>
      <c r="Z133" s="1"/>
    </row>
    <row r="134" spans="1:26" ht="18.600000000000001" hidden="1" x14ac:dyDescent="0.25">
      <c r="A134" s="321" t="s">
        <v>718</v>
      </c>
      <c r="B134" s="321" t="s">
        <v>103</v>
      </c>
      <c r="C134" s="318" t="s">
        <v>566</v>
      </c>
      <c r="D134">
        <v>7265</v>
      </c>
      <c r="E134" s="143">
        <v>142000</v>
      </c>
      <c r="F134" s="117">
        <v>1404</v>
      </c>
      <c r="G134" s="321" t="s">
        <v>304</v>
      </c>
      <c r="H134" s="144">
        <f>bargiri[[#This Row],[میزان بارگیری شده]]*bargiri[[#This Row],[فی]]</f>
        <v>1031630000</v>
      </c>
      <c r="I134" s="321">
        <f>IF(year=bargiri[[#This Row],[سال]],1,0)</f>
        <v>1</v>
      </c>
      <c r="X134" s="1"/>
      <c r="Y134" s="1"/>
      <c r="Z134" s="1"/>
    </row>
    <row r="135" spans="1:26" ht="18.600000000000001" hidden="1" x14ac:dyDescent="0.25">
      <c r="A135" s="321" t="s">
        <v>719</v>
      </c>
      <c r="B135" s="321" t="s">
        <v>103</v>
      </c>
      <c r="C135" s="318" t="s">
        <v>566</v>
      </c>
      <c r="D135">
        <v>7485</v>
      </c>
      <c r="E135" s="143">
        <v>142000</v>
      </c>
      <c r="F135" s="117">
        <v>1404</v>
      </c>
      <c r="G135" s="321" t="s">
        <v>304</v>
      </c>
      <c r="H135" s="144">
        <f>bargiri[[#This Row],[میزان بارگیری شده]]*bargiri[[#This Row],[فی]]</f>
        <v>1062870000</v>
      </c>
      <c r="I135" s="321">
        <f>IF(year=bargiri[[#This Row],[سال]],1,0)</f>
        <v>1</v>
      </c>
      <c r="X135" s="1"/>
      <c r="Y135" s="1"/>
      <c r="Z135" s="1"/>
    </row>
    <row r="136" spans="1:26" ht="18.600000000000001" x14ac:dyDescent="0.25">
      <c r="A136" s="321" t="s">
        <v>719</v>
      </c>
      <c r="B136" s="321" t="s">
        <v>118</v>
      </c>
      <c r="C136" s="318" t="s">
        <v>84</v>
      </c>
      <c r="D136">
        <v>20975</v>
      </c>
      <c r="E136" s="143">
        <v>57273</v>
      </c>
      <c r="F136" s="117">
        <v>1404</v>
      </c>
      <c r="G136" s="321" t="s">
        <v>304</v>
      </c>
      <c r="H136" s="144">
        <f>bargiri[[#This Row],[میزان بارگیری شده]]*bargiri[[#This Row],[فی]]</f>
        <v>1201301175</v>
      </c>
      <c r="I136" s="321">
        <f>IF(year=bargiri[[#This Row],[سال]],1,0)</f>
        <v>1</v>
      </c>
      <c r="X136" s="1"/>
      <c r="Y136" s="1"/>
      <c r="Z136" s="1"/>
    </row>
    <row r="137" spans="1:26" ht="18.600000000000001" x14ac:dyDescent="0.25">
      <c r="A137" s="321" t="s">
        <v>719</v>
      </c>
      <c r="B137" s="321" t="s">
        <v>118</v>
      </c>
      <c r="C137" s="318" t="s">
        <v>84</v>
      </c>
      <c r="D137">
        <v>21080</v>
      </c>
      <c r="E137" s="143">
        <v>57273</v>
      </c>
      <c r="F137" s="117">
        <v>1404</v>
      </c>
      <c r="G137" s="321" t="s">
        <v>304</v>
      </c>
      <c r="H137" s="144">
        <f>bargiri[[#This Row],[میزان بارگیری شده]]*bargiri[[#This Row],[فی]]</f>
        <v>1207314840</v>
      </c>
      <c r="I137" s="321">
        <f>IF(year=bargiri[[#This Row],[سال]],1,0)</f>
        <v>1</v>
      </c>
      <c r="X137" s="1"/>
      <c r="Y137" s="1"/>
      <c r="Z137" s="1"/>
    </row>
    <row r="138" spans="1:26" ht="18.600000000000001" hidden="1" x14ac:dyDescent="0.25">
      <c r="A138" s="321" t="s">
        <v>719</v>
      </c>
      <c r="B138" s="321" t="s">
        <v>109</v>
      </c>
      <c r="C138" s="318" t="s">
        <v>570</v>
      </c>
      <c r="D138">
        <v>7455</v>
      </c>
      <c r="E138" s="143">
        <v>142000</v>
      </c>
      <c r="F138" s="117">
        <v>1404</v>
      </c>
      <c r="G138" s="321" t="s">
        <v>304</v>
      </c>
      <c r="H138" s="144">
        <f>bargiri[[#This Row],[میزان بارگیری شده]]*bargiri[[#This Row],[فی]]</f>
        <v>1058610000</v>
      </c>
      <c r="I138" s="321">
        <f>IF(year=bargiri[[#This Row],[سال]],1,0)</f>
        <v>1</v>
      </c>
      <c r="X138" s="1"/>
      <c r="Y138" s="1"/>
      <c r="Z138" s="1"/>
    </row>
    <row r="139" spans="1:26" ht="18.600000000000001" hidden="1" x14ac:dyDescent="0.25">
      <c r="A139" s="321" t="s">
        <v>719</v>
      </c>
      <c r="B139" s="321" t="s">
        <v>99</v>
      </c>
      <c r="C139" s="318" t="s">
        <v>12</v>
      </c>
      <c r="D139">
        <v>18970</v>
      </c>
      <c r="E139" s="143">
        <v>86500</v>
      </c>
      <c r="F139" s="117">
        <v>1404</v>
      </c>
      <c r="G139" s="321" t="s">
        <v>304</v>
      </c>
      <c r="H139" s="144">
        <f>bargiri[[#This Row],[میزان بارگیری شده]]*bargiri[[#This Row],[فی]]</f>
        <v>1640905000</v>
      </c>
      <c r="I139" s="321">
        <f>IF(year=bargiri[[#This Row],[سال]],1,0)</f>
        <v>1</v>
      </c>
      <c r="X139" s="1"/>
      <c r="Y139" s="1"/>
      <c r="Z139" s="1"/>
    </row>
    <row r="140" spans="1:26" ht="18.600000000000001" hidden="1" x14ac:dyDescent="0.25">
      <c r="A140" s="321" t="s">
        <v>720</v>
      </c>
      <c r="B140" s="321" t="s">
        <v>121</v>
      </c>
      <c r="C140" s="318" t="s">
        <v>544</v>
      </c>
      <c r="D140">
        <v>19935</v>
      </c>
      <c r="E140" s="143">
        <v>151200</v>
      </c>
      <c r="F140" s="117">
        <v>1404</v>
      </c>
      <c r="G140" s="321" t="s">
        <v>304</v>
      </c>
      <c r="H140" s="144">
        <f>bargiri[[#This Row],[میزان بارگیری شده]]*bargiri[[#This Row],[فی]]</f>
        <v>3014172000</v>
      </c>
      <c r="I140" s="321">
        <f>IF(year=bargiri[[#This Row],[سال]],1,0)</f>
        <v>1</v>
      </c>
      <c r="X140" s="1"/>
      <c r="Y140" s="1"/>
      <c r="Z140" s="1"/>
    </row>
    <row r="141" spans="1:26" ht="18.600000000000001" hidden="1" x14ac:dyDescent="0.25">
      <c r="A141" s="321" t="s">
        <v>720</v>
      </c>
      <c r="B141" s="321" t="s">
        <v>99</v>
      </c>
      <c r="C141" s="318" t="s">
        <v>12</v>
      </c>
      <c r="D141">
        <v>18130</v>
      </c>
      <c r="E141" s="143">
        <v>86500</v>
      </c>
      <c r="F141" s="117">
        <v>1404</v>
      </c>
      <c r="G141" s="321" t="s">
        <v>304</v>
      </c>
      <c r="H141" s="144">
        <f>bargiri[[#This Row],[میزان بارگیری شده]]*bargiri[[#This Row],[فی]]</f>
        <v>1568245000</v>
      </c>
      <c r="I141" s="321">
        <f>IF(year=bargiri[[#This Row],[سال]],1,0)</f>
        <v>1</v>
      </c>
      <c r="X141" s="1"/>
      <c r="Y141" s="1"/>
      <c r="Z141" s="1"/>
    </row>
    <row r="142" spans="1:26" ht="18.600000000000001" hidden="1" x14ac:dyDescent="0.25">
      <c r="A142" s="321" t="s">
        <v>720</v>
      </c>
      <c r="B142" s="321" t="s">
        <v>99</v>
      </c>
      <c r="C142" s="318" t="s">
        <v>12</v>
      </c>
      <c r="D142">
        <v>19065</v>
      </c>
      <c r="E142" s="143">
        <v>86500</v>
      </c>
      <c r="F142" s="117">
        <v>1404</v>
      </c>
      <c r="G142" s="321" t="s">
        <v>304</v>
      </c>
      <c r="H142" s="144">
        <f>bargiri[[#This Row],[میزان بارگیری شده]]*bargiri[[#This Row],[فی]]</f>
        <v>1649122500</v>
      </c>
      <c r="I142" s="321">
        <f>IF(year=bargiri[[#This Row],[سال]],1,0)</f>
        <v>1</v>
      </c>
      <c r="X142" s="1"/>
      <c r="Y142" s="1"/>
      <c r="Z142" s="1"/>
    </row>
    <row r="143" spans="1:26" ht="18.600000000000001" hidden="1" x14ac:dyDescent="0.25">
      <c r="A143" s="321" t="s">
        <v>716</v>
      </c>
      <c r="B143" s="321" t="s">
        <v>106</v>
      </c>
      <c r="C143" s="318" t="s">
        <v>44</v>
      </c>
      <c r="D143">
        <v>22020</v>
      </c>
      <c r="E143" s="143">
        <v>80000</v>
      </c>
      <c r="F143" s="117">
        <v>1404</v>
      </c>
      <c r="G143" s="321" t="s">
        <v>304</v>
      </c>
      <c r="H143" s="144">
        <f>bargiri[[#This Row],[میزان بارگیری شده]]*bargiri[[#This Row],[فی]]</f>
        <v>1761600000</v>
      </c>
      <c r="I143" s="321">
        <f>IF(year=bargiri[[#This Row],[سال]],1,0)</f>
        <v>1</v>
      </c>
      <c r="X143" s="1"/>
      <c r="Y143" s="1"/>
      <c r="Z143" s="1"/>
    </row>
    <row r="144" spans="1:26" ht="18.600000000000001" hidden="1" x14ac:dyDescent="0.25">
      <c r="A144" s="321" t="s">
        <v>716</v>
      </c>
      <c r="B144" s="321" t="s">
        <v>99</v>
      </c>
      <c r="C144" s="318" t="s">
        <v>12</v>
      </c>
      <c r="D144">
        <v>18900</v>
      </c>
      <c r="E144" s="143">
        <v>86500</v>
      </c>
      <c r="F144" s="117">
        <v>1404</v>
      </c>
      <c r="G144" s="321" t="s">
        <v>304</v>
      </c>
      <c r="H144" s="144">
        <f>bargiri[[#This Row],[میزان بارگیری شده]]*bargiri[[#This Row],[فی]]</f>
        <v>1634850000</v>
      </c>
      <c r="I144" s="321">
        <f>IF(year=bargiri[[#This Row],[سال]],1,0)</f>
        <v>1</v>
      </c>
      <c r="X144" s="1"/>
      <c r="Y144" s="1"/>
      <c r="Z144" s="1"/>
    </row>
    <row r="145" spans="1:26" ht="18.600000000000001" x14ac:dyDescent="0.25">
      <c r="A145" s="321" t="s">
        <v>716</v>
      </c>
      <c r="B145" s="321" t="s">
        <v>118</v>
      </c>
      <c r="C145" s="318" t="s">
        <v>84</v>
      </c>
      <c r="D145">
        <v>20980</v>
      </c>
      <c r="E145" s="143">
        <v>57273</v>
      </c>
      <c r="F145" s="117">
        <v>1404</v>
      </c>
      <c r="G145" s="321" t="s">
        <v>304</v>
      </c>
      <c r="H145" s="144">
        <f>bargiri[[#This Row],[میزان بارگیری شده]]*bargiri[[#This Row],[فی]]</f>
        <v>1201587540</v>
      </c>
      <c r="I145" s="321">
        <f>IF(year=bargiri[[#This Row],[سال]],1,0)</f>
        <v>1</v>
      </c>
      <c r="X145" s="1"/>
      <c r="Y145" s="1"/>
      <c r="Z145" s="1"/>
    </row>
    <row r="146" spans="1:26" ht="18.600000000000001" x14ac:dyDescent="0.25">
      <c r="A146" s="321" t="s">
        <v>716</v>
      </c>
      <c r="B146" s="321" t="s">
        <v>118</v>
      </c>
      <c r="C146" s="318" t="s">
        <v>84</v>
      </c>
      <c r="D146">
        <v>20460</v>
      </c>
      <c r="E146" s="143">
        <v>57273</v>
      </c>
      <c r="F146" s="117">
        <v>1404</v>
      </c>
      <c r="G146" s="321" t="s">
        <v>304</v>
      </c>
      <c r="H146" s="144">
        <f>bargiri[[#This Row],[میزان بارگیری شده]]*bargiri[[#This Row],[فی]]</f>
        <v>1171805580</v>
      </c>
      <c r="I146" s="321">
        <f>IF(year=bargiri[[#This Row],[سال]],1,0)</f>
        <v>1</v>
      </c>
      <c r="X146" s="1"/>
      <c r="Y146" s="1"/>
      <c r="Z146" s="1"/>
    </row>
    <row r="147" spans="1:26" ht="18.600000000000001" x14ac:dyDescent="0.25">
      <c r="A147" s="321" t="s">
        <v>716</v>
      </c>
      <c r="B147" s="321" t="s">
        <v>118</v>
      </c>
      <c r="C147" s="318" t="s">
        <v>84</v>
      </c>
      <c r="D147">
        <v>20990</v>
      </c>
      <c r="E147" s="143">
        <v>57273</v>
      </c>
      <c r="F147" s="117">
        <v>1404</v>
      </c>
      <c r="G147" s="321" t="s">
        <v>304</v>
      </c>
      <c r="H147" s="144">
        <f>bargiri[[#This Row],[میزان بارگیری شده]]*bargiri[[#This Row],[فی]]</f>
        <v>1202160270</v>
      </c>
      <c r="I147" s="321">
        <f>IF(year=bargiri[[#This Row],[سال]],1,0)</f>
        <v>1</v>
      </c>
      <c r="X147" s="1"/>
      <c r="Y147" s="1"/>
      <c r="Z147" s="1"/>
    </row>
    <row r="148" spans="1:26" ht="18.600000000000001" hidden="1" x14ac:dyDescent="0.25">
      <c r="A148" s="321" t="s">
        <v>642</v>
      </c>
      <c r="B148" s="321" t="s">
        <v>121</v>
      </c>
      <c r="C148" s="318" t="s">
        <v>544</v>
      </c>
      <c r="D148">
        <v>16155</v>
      </c>
      <c r="E148" s="143">
        <v>151200</v>
      </c>
      <c r="F148" s="117">
        <v>1404</v>
      </c>
      <c r="G148" s="321" t="s">
        <v>304</v>
      </c>
      <c r="H148" s="144">
        <f>bargiri[[#This Row],[میزان بارگیری شده]]*bargiri[[#This Row],[فی]]</f>
        <v>2442636000</v>
      </c>
      <c r="I148" s="321">
        <f>IF(year=bargiri[[#This Row],[سال]],1,0)</f>
        <v>1</v>
      </c>
      <c r="X148" s="1"/>
      <c r="Y148" s="1"/>
      <c r="Z148" s="1"/>
    </row>
    <row r="149" spans="1:26" ht="18.600000000000001" hidden="1" x14ac:dyDescent="0.25">
      <c r="A149" s="321" t="s">
        <v>642</v>
      </c>
      <c r="B149" s="321" t="s">
        <v>116</v>
      </c>
      <c r="C149" s="318" t="s">
        <v>539</v>
      </c>
      <c r="D149">
        <v>8125</v>
      </c>
      <c r="E149" s="143">
        <v>126000</v>
      </c>
      <c r="F149" s="117">
        <v>1404</v>
      </c>
      <c r="G149" s="321" t="s">
        <v>304</v>
      </c>
      <c r="H149" s="144">
        <f>bargiri[[#This Row],[میزان بارگیری شده]]*bargiri[[#This Row],[فی]]</f>
        <v>1023750000</v>
      </c>
      <c r="I149" s="321">
        <f>IF(year=bargiri[[#This Row],[سال]],1,0)</f>
        <v>1</v>
      </c>
      <c r="X149" s="1"/>
      <c r="Y149" s="1"/>
      <c r="Z149" s="1"/>
    </row>
    <row r="150" spans="1:26" ht="18.600000000000001" hidden="1" x14ac:dyDescent="0.25">
      <c r="A150" s="321" t="s">
        <v>642</v>
      </c>
      <c r="B150" s="321" t="s">
        <v>103</v>
      </c>
      <c r="C150" s="318" t="s">
        <v>566</v>
      </c>
      <c r="D150">
        <v>7365</v>
      </c>
      <c r="E150" s="143">
        <v>142000</v>
      </c>
      <c r="F150" s="117">
        <v>1404</v>
      </c>
      <c r="G150" s="321" t="s">
        <v>304</v>
      </c>
      <c r="H150" s="144">
        <f>bargiri[[#This Row],[میزان بارگیری شده]]*bargiri[[#This Row],[فی]]</f>
        <v>1045830000</v>
      </c>
      <c r="I150" s="321">
        <f>IF(year=bargiri[[#This Row],[سال]],1,0)</f>
        <v>1</v>
      </c>
      <c r="X150" s="1"/>
      <c r="Y150" s="1"/>
      <c r="Z150" s="1"/>
    </row>
    <row r="151" spans="1:26" ht="18.600000000000001" hidden="1" x14ac:dyDescent="0.25">
      <c r="A151" s="321" t="s">
        <v>642</v>
      </c>
      <c r="B151" s="321" t="s">
        <v>116</v>
      </c>
      <c r="C151" s="318" t="s">
        <v>539</v>
      </c>
      <c r="D151">
        <v>19960</v>
      </c>
      <c r="E151" s="143">
        <v>126000</v>
      </c>
      <c r="F151" s="117">
        <v>1404</v>
      </c>
      <c r="G151" s="321" t="s">
        <v>304</v>
      </c>
      <c r="H151" s="144">
        <f>bargiri[[#This Row],[میزان بارگیری شده]]*bargiri[[#This Row],[فی]]</f>
        <v>2514960000</v>
      </c>
      <c r="I151" s="321">
        <f>IF(year=bargiri[[#This Row],[سال]],1,0)</f>
        <v>1</v>
      </c>
      <c r="X151" s="1"/>
      <c r="Y151" s="1"/>
      <c r="Z151" s="1"/>
    </row>
    <row r="152" spans="1:26" ht="18.600000000000001" hidden="1" x14ac:dyDescent="0.25">
      <c r="A152" s="321" t="s">
        <v>642</v>
      </c>
      <c r="B152" s="321" t="s">
        <v>117</v>
      </c>
      <c r="C152" s="318" t="s">
        <v>660</v>
      </c>
      <c r="D152">
        <v>19970</v>
      </c>
      <c r="E152" s="143">
        <v>201000</v>
      </c>
      <c r="F152" s="117">
        <v>1404</v>
      </c>
      <c r="G152" s="321" t="s">
        <v>304</v>
      </c>
      <c r="H152" s="144">
        <f>bargiri[[#This Row],[میزان بارگیری شده]]*bargiri[[#This Row],[فی]]</f>
        <v>4013970000</v>
      </c>
      <c r="I152" s="321">
        <f>IF(year=bargiri[[#This Row],[سال]],1,0)</f>
        <v>1</v>
      </c>
      <c r="X152" s="1"/>
      <c r="Y152" s="1"/>
      <c r="Z152" s="1"/>
    </row>
    <row r="153" spans="1:26" ht="18.600000000000001" hidden="1" x14ac:dyDescent="0.25">
      <c r="A153" s="321" t="s">
        <v>642</v>
      </c>
      <c r="B153" s="321" t="s">
        <v>108</v>
      </c>
      <c r="C153" s="318" t="s">
        <v>717</v>
      </c>
      <c r="D153">
        <v>20145</v>
      </c>
      <c r="E153" s="143">
        <v>201000</v>
      </c>
      <c r="F153" s="117">
        <v>1404</v>
      </c>
      <c r="G153" s="321" t="s">
        <v>304</v>
      </c>
      <c r="H153" s="144">
        <f>bargiri[[#This Row],[میزان بارگیری شده]]*bargiri[[#This Row],[فی]]</f>
        <v>4049145000</v>
      </c>
      <c r="I153" s="321">
        <f>IF(year=bargiri[[#This Row],[سال]],1,0)</f>
        <v>1</v>
      </c>
      <c r="X153" s="1"/>
      <c r="Y153" s="1"/>
      <c r="Z153" s="1"/>
    </row>
    <row r="154" spans="1:26" ht="18.600000000000001" hidden="1" x14ac:dyDescent="0.25">
      <c r="A154" s="321" t="s">
        <v>666</v>
      </c>
      <c r="B154" s="321" t="s">
        <v>116</v>
      </c>
      <c r="C154" s="318" t="s">
        <v>70</v>
      </c>
      <c r="D154">
        <v>12885</v>
      </c>
      <c r="E154" s="143">
        <v>92179</v>
      </c>
      <c r="F154" s="117">
        <v>1404</v>
      </c>
      <c r="G154" s="321" t="s">
        <v>304</v>
      </c>
      <c r="H154" s="144">
        <f>bargiri[[#This Row],[میزان بارگیری شده]]*bargiri[[#This Row],[فی]]</f>
        <v>1187726415</v>
      </c>
      <c r="I154" s="321">
        <f>IF(year=bargiri[[#This Row],[سال]],1,0)</f>
        <v>1</v>
      </c>
      <c r="X154" s="1"/>
      <c r="Y154" s="1"/>
      <c r="Z154" s="1"/>
    </row>
    <row r="155" spans="1:26" ht="18.600000000000001" hidden="1" x14ac:dyDescent="0.25">
      <c r="A155" s="321" t="s">
        <v>666</v>
      </c>
      <c r="B155" s="321" t="s">
        <v>116</v>
      </c>
      <c r="C155" s="318" t="s">
        <v>539</v>
      </c>
      <c r="D155">
        <v>7115</v>
      </c>
      <c r="E155" s="143">
        <v>126000</v>
      </c>
      <c r="F155" s="117">
        <v>1404</v>
      </c>
      <c r="G155" s="321" t="s">
        <v>304</v>
      </c>
      <c r="H155" s="144">
        <f>bargiri[[#This Row],[میزان بارگیری شده]]*bargiri[[#This Row],[فی]]</f>
        <v>896490000</v>
      </c>
      <c r="I155" s="321">
        <f>IF(year=bargiri[[#This Row],[سال]],1,0)</f>
        <v>1</v>
      </c>
      <c r="X155" s="1"/>
      <c r="Y155" s="1"/>
      <c r="Z155" s="1"/>
    </row>
    <row r="156" spans="1:26" ht="18.600000000000001" hidden="1" x14ac:dyDescent="0.25">
      <c r="A156" s="321" t="s">
        <v>666</v>
      </c>
      <c r="B156" s="321" t="s">
        <v>104</v>
      </c>
      <c r="C156" s="318" t="s">
        <v>569</v>
      </c>
      <c r="D156">
        <v>18170</v>
      </c>
      <c r="E156" s="143">
        <v>142000</v>
      </c>
      <c r="F156" s="117">
        <v>1404</v>
      </c>
      <c r="G156" s="321" t="s">
        <v>304</v>
      </c>
      <c r="H156" s="144">
        <f>bargiri[[#This Row],[میزان بارگیری شده]]*bargiri[[#This Row],[فی]]</f>
        <v>2580140000</v>
      </c>
      <c r="I156" s="321">
        <f>IF(year=bargiri[[#This Row],[سال]],1,0)</f>
        <v>1</v>
      </c>
      <c r="X156" s="1"/>
      <c r="Y156" s="1"/>
      <c r="Z156" s="1"/>
    </row>
    <row r="157" spans="1:26" ht="18.600000000000001" x14ac:dyDescent="0.25">
      <c r="A157" s="321" t="s">
        <v>666</v>
      </c>
      <c r="B157" s="321" t="s">
        <v>118</v>
      </c>
      <c r="C157" s="318" t="s">
        <v>84</v>
      </c>
      <c r="D157">
        <v>21015</v>
      </c>
      <c r="E157" s="143">
        <v>57273</v>
      </c>
      <c r="F157" s="117">
        <v>1404</v>
      </c>
      <c r="G157" s="321" t="s">
        <v>304</v>
      </c>
      <c r="H157" s="144">
        <f>bargiri[[#This Row],[میزان بارگیری شده]]*bargiri[[#This Row],[فی]]</f>
        <v>1203592095</v>
      </c>
      <c r="I157" s="321">
        <f>IF(year=bargiri[[#This Row],[سال]],1,0)</f>
        <v>1</v>
      </c>
      <c r="X157" s="1"/>
      <c r="Y157" s="1"/>
      <c r="Z157" s="1"/>
    </row>
    <row r="158" spans="1:26" ht="18.600000000000001" x14ac:dyDescent="0.25">
      <c r="A158" s="321" t="s">
        <v>666</v>
      </c>
      <c r="B158" s="321" t="s">
        <v>118</v>
      </c>
      <c r="C158" s="318" t="s">
        <v>84</v>
      </c>
      <c r="D158">
        <v>20545</v>
      </c>
      <c r="E158" s="143">
        <v>57273</v>
      </c>
      <c r="F158" s="117">
        <v>1404</v>
      </c>
      <c r="G158" s="321" t="s">
        <v>304</v>
      </c>
      <c r="H158" s="144">
        <f>bargiri[[#This Row],[میزان بارگیری شده]]*bargiri[[#This Row],[فی]]</f>
        <v>1176673785</v>
      </c>
      <c r="I158" s="321">
        <f>IF(year=bargiri[[#This Row],[سال]],1,0)</f>
        <v>1</v>
      </c>
      <c r="X158" s="1"/>
      <c r="Y158" s="1"/>
      <c r="Z158" s="1"/>
    </row>
    <row r="159" spans="1:26" ht="18.600000000000001" hidden="1" x14ac:dyDescent="0.25">
      <c r="A159" s="321" t="s">
        <v>666</v>
      </c>
      <c r="B159" s="321" t="s">
        <v>123</v>
      </c>
      <c r="C159" s="318" t="s">
        <v>536</v>
      </c>
      <c r="D159">
        <v>5390</v>
      </c>
      <c r="E159" s="143">
        <v>100000</v>
      </c>
      <c r="F159" s="117">
        <v>1404</v>
      </c>
      <c r="G159" s="321" t="s">
        <v>304</v>
      </c>
      <c r="H159" s="144">
        <f>bargiri[[#This Row],[میزان بارگیری شده]]*bargiri[[#This Row],[فی]]</f>
        <v>539000000</v>
      </c>
      <c r="I159" s="321">
        <f>IF(year=bargiri[[#This Row],[سال]],1,0)</f>
        <v>1</v>
      </c>
      <c r="X159" s="1"/>
      <c r="Y159" s="1"/>
      <c r="Z159" s="1"/>
    </row>
    <row r="160" spans="1:26" ht="18.600000000000001" hidden="1" x14ac:dyDescent="0.25">
      <c r="A160" s="321" t="s">
        <v>666</v>
      </c>
      <c r="B160" s="321" t="s">
        <v>123</v>
      </c>
      <c r="C160" s="318" t="s">
        <v>576</v>
      </c>
      <c r="D160">
        <v>2290</v>
      </c>
      <c r="E160" s="143">
        <v>142000</v>
      </c>
      <c r="F160" s="117">
        <v>1404</v>
      </c>
      <c r="G160" s="321" t="s">
        <v>304</v>
      </c>
      <c r="H160" s="144">
        <f>bargiri[[#This Row],[میزان بارگیری شده]]*bargiri[[#This Row],[فی]]</f>
        <v>325180000</v>
      </c>
      <c r="I160" s="321">
        <f>IF(year=bargiri[[#This Row],[سال]],1,0)</f>
        <v>1</v>
      </c>
      <c r="X160" s="1"/>
      <c r="Y160" s="1"/>
      <c r="Z160" s="1"/>
    </row>
    <row r="161" spans="1:26" ht="18.600000000000001" hidden="1" x14ac:dyDescent="0.25">
      <c r="A161" s="321" t="s">
        <v>667</v>
      </c>
      <c r="B161" s="321" t="s">
        <v>109</v>
      </c>
      <c r="C161" s="318" t="s">
        <v>570</v>
      </c>
      <c r="D161">
        <v>7380</v>
      </c>
      <c r="E161" s="143">
        <v>142000</v>
      </c>
      <c r="F161" s="117">
        <v>1404</v>
      </c>
      <c r="G161" s="321" t="s">
        <v>304</v>
      </c>
      <c r="H161" s="144">
        <f>bargiri[[#This Row],[میزان بارگیری شده]]*bargiri[[#This Row],[فی]]</f>
        <v>1047960000</v>
      </c>
      <c r="I161" s="321">
        <f>IF(year=bargiri[[#This Row],[سال]],1,0)</f>
        <v>1</v>
      </c>
      <c r="X161" s="1"/>
      <c r="Y161" s="1"/>
      <c r="Z161" s="1"/>
    </row>
    <row r="162" spans="1:26" ht="18.600000000000001" hidden="1" x14ac:dyDescent="0.25">
      <c r="A162" s="321" t="s">
        <v>667</v>
      </c>
      <c r="B162" s="321" t="s">
        <v>116</v>
      </c>
      <c r="C162" s="318" t="s">
        <v>70</v>
      </c>
      <c r="D162">
        <v>7075</v>
      </c>
      <c r="E162" s="143">
        <v>92179</v>
      </c>
      <c r="F162" s="117">
        <v>1404</v>
      </c>
      <c r="G162" s="321" t="s">
        <v>304</v>
      </c>
      <c r="H162" s="144">
        <f>bargiri[[#This Row],[میزان بارگیری شده]]*bargiri[[#This Row],[فی]]</f>
        <v>652166425</v>
      </c>
      <c r="I162" s="321">
        <f>IF(year=bargiri[[#This Row],[سال]],1,0)</f>
        <v>1</v>
      </c>
      <c r="X162" s="1"/>
      <c r="Y162" s="1"/>
      <c r="Z162" s="1"/>
    </row>
    <row r="163" spans="1:26" ht="18.600000000000001" hidden="1" x14ac:dyDescent="0.25">
      <c r="A163" s="321" t="s">
        <v>667</v>
      </c>
      <c r="B163" s="321" t="s">
        <v>109</v>
      </c>
      <c r="C163" s="318" t="s">
        <v>570</v>
      </c>
      <c r="D163">
        <v>7290</v>
      </c>
      <c r="E163" s="143">
        <v>142000</v>
      </c>
      <c r="F163" s="117">
        <v>1404</v>
      </c>
      <c r="G163" s="321" t="s">
        <v>304</v>
      </c>
      <c r="H163" s="144">
        <f>bargiri[[#This Row],[میزان بارگیری شده]]*bargiri[[#This Row],[فی]]</f>
        <v>1035180000</v>
      </c>
      <c r="I163" s="321">
        <f>IF(year=bargiri[[#This Row],[سال]],1,0)</f>
        <v>1</v>
      </c>
      <c r="X163" s="1"/>
      <c r="Y163" s="1"/>
      <c r="Z163" s="1"/>
    </row>
    <row r="164" spans="1:26" ht="18.600000000000001" x14ac:dyDescent="0.25">
      <c r="A164" s="321" t="s">
        <v>667</v>
      </c>
      <c r="B164" s="321" t="s">
        <v>118</v>
      </c>
      <c r="C164" s="318" t="s">
        <v>84</v>
      </c>
      <c r="D164">
        <v>20535</v>
      </c>
      <c r="E164" s="143">
        <v>57273</v>
      </c>
      <c r="F164" s="117">
        <v>1404</v>
      </c>
      <c r="G164" s="321" t="s">
        <v>304</v>
      </c>
      <c r="H164" s="144">
        <f>bargiri[[#This Row],[میزان بارگیری شده]]*bargiri[[#This Row],[فی]]</f>
        <v>1176101055</v>
      </c>
      <c r="I164" s="321">
        <f>IF(year=bargiri[[#This Row],[سال]],1,0)</f>
        <v>1</v>
      </c>
      <c r="X164" s="1"/>
      <c r="Y164" s="1"/>
      <c r="Z164" s="1"/>
    </row>
    <row r="165" spans="1:26" ht="18.600000000000001" x14ac:dyDescent="0.25">
      <c r="A165" s="321" t="s">
        <v>667</v>
      </c>
      <c r="B165" s="321" t="s">
        <v>118</v>
      </c>
      <c r="C165" s="318" t="s">
        <v>84</v>
      </c>
      <c r="D165">
        <v>20555</v>
      </c>
      <c r="E165" s="143">
        <v>57273</v>
      </c>
      <c r="F165" s="117">
        <v>1404</v>
      </c>
      <c r="G165" s="321" t="s">
        <v>304</v>
      </c>
      <c r="H165" s="144">
        <f>bargiri[[#This Row],[میزان بارگیری شده]]*bargiri[[#This Row],[فی]]</f>
        <v>1177246515</v>
      </c>
      <c r="I165" s="321">
        <f>IF(year=bargiri[[#This Row],[سال]],1,0)</f>
        <v>1</v>
      </c>
      <c r="X165" s="1"/>
      <c r="Y165" s="1"/>
      <c r="Z165" s="1"/>
    </row>
    <row r="166" spans="1:26" ht="18.600000000000001" hidden="1" x14ac:dyDescent="0.25">
      <c r="A166" s="321" t="s">
        <v>667</v>
      </c>
      <c r="B166" s="321" t="s">
        <v>106</v>
      </c>
      <c r="C166" s="318" t="s">
        <v>44</v>
      </c>
      <c r="D166">
        <v>22160</v>
      </c>
      <c r="E166" s="143">
        <v>80000</v>
      </c>
      <c r="F166" s="117">
        <v>1404</v>
      </c>
      <c r="G166" s="321" t="s">
        <v>304</v>
      </c>
      <c r="H166" s="144">
        <f>bargiri[[#This Row],[میزان بارگیری شده]]*bargiri[[#This Row],[فی]]</f>
        <v>1772800000</v>
      </c>
      <c r="I166" s="321">
        <f>IF(year=bargiri[[#This Row],[سال]],1,0)</f>
        <v>1</v>
      </c>
      <c r="X166" s="1"/>
      <c r="Y166" s="1"/>
      <c r="Z166" s="1"/>
    </row>
    <row r="167" spans="1:26" ht="18.600000000000001" hidden="1" x14ac:dyDescent="0.25">
      <c r="A167" s="321" t="s">
        <v>667</v>
      </c>
      <c r="B167" s="321" t="s">
        <v>122</v>
      </c>
      <c r="C167" s="318" t="s">
        <v>575</v>
      </c>
      <c r="D167">
        <v>20135</v>
      </c>
      <c r="E167" s="143">
        <v>142000</v>
      </c>
      <c r="F167" s="117">
        <v>1404</v>
      </c>
      <c r="G167" s="321" t="s">
        <v>304</v>
      </c>
      <c r="H167" s="144">
        <f>bargiri[[#This Row],[میزان بارگیری شده]]*bargiri[[#This Row],[فی]]</f>
        <v>2859170000</v>
      </c>
      <c r="I167" s="321">
        <f>IF(year=bargiri[[#This Row],[سال]],1,0)</f>
        <v>1</v>
      </c>
      <c r="X167" s="1"/>
      <c r="Y167" s="1"/>
      <c r="Z167" s="1"/>
    </row>
    <row r="168" spans="1:26" ht="18.600000000000001" hidden="1" x14ac:dyDescent="0.25">
      <c r="A168" s="321" t="s">
        <v>667</v>
      </c>
      <c r="B168" s="321" t="s">
        <v>99</v>
      </c>
      <c r="C168" s="318" t="s">
        <v>12</v>
      </c>
      <c r="D168">
        <v>19005</v>
      </c>
      <c r="E168" s="143">
        <v>86500</v>
      </c>
      <c r="F168" s="117">
        <v>1404</v>
      </c>
      <c r="G168" s="321" t="s">
        <v>304</v>
      </c>
      <c r="H168" s="144">
        <f>bargiri[[#This Row],[میزان بارگیری شده]]*bargiri[[#This Row],[فی]]</f>
        <v>1643932500</v>
      </c>
      <c r="I168" s="321">
        <f>IF(year=bargiri[[#This Row],[سال]],1,0)</f>
        <v>1</v>
      </c>
      <c r="X168" s="1"/>
      <c r="Y168" s="1"/>
      <c r="Z168" s="1"/>
    </row>
    <row r="169" spans="1:26" ht="18.600000000000001" hidden="1" x14ac:dyDescent="0.25">
      <c r="A169" s="321" t="s">
        <v>668</v>
      </c>
      <c r="B169" s="321" t="s">
        <v>116</v>
      </c>
      <c r="C169" s="318" t="s">
        <v>71</v>
      </c>
      <c r="D169">
        <v>10005</v>
      </c>
      <c r="E169" s="143">
        <v>83800</v>
      </c>
      <c r="F169" s="117">
        <v>1404</v>
      </c>
      <c r="G169" s="321" t="s">
        <v>304</v>
      </c>
      <c r="H169" s="144">
        <f>bargiri[[#This Row],[میزان بارگیری شده]]*bargiri[[#This Row],[فی]]</f>
        <v>838419000</v>
      </c>
      <c r="I169" s="321">
        <f>IF(year=bargiri[[#This Row],[سال]],1,0)</f>
        <v>1</v>
      </c>
      <c r="X169" s="1"/>
      <c r="Y169" s="1"/>
      <c r="Z169" s="1"/>
    </row>
    <row r="170" spans="1:26" ht="18.600000000000001" hidden="1" x14ac:dyDescent="0.25">
      <c r="A170" s="321" t="s">
        <v>668</v>
      </c>
      <c r="B170" s="321" t="s">
        <v>116</v>
      </c>
      <c r="C170" s="318" t="s">
        <v>70</v>
      </c>
      <c r="D170">
        <v>10040</v>
      </c>
      <c r="E170" s="143">
        <v>92179</v>
      </c>
      <c r="F170" s="117">
        <v>1404</v>
      </c>
      <c r="G170" s="321" t="s">
        <v>304</v>
      </c>
      <c r="H170" s="144">
        <f>bargiri[[#This Row],[میزان بارگیری شده]]*bargiri[[#This Row],[فی]]</f>
        <v>925477160</v>
      </c>
      <c r="I170" s="321">
        <f>IF(year=bargiri[[#This Row],[سال]],1,0)</f>
        <v>1</v>
      </c>
      <c r="X170" s="1"/>
      <c r="Y170" s="1"/>
      <c r="Z170" s="1"/>
    </row>
    <row r="171" spans="1:26" ht="18.600000000000001" hidden="1" x14ac:dyDescent="0.25">
      <c r="A171" s="321" t="s">
        <v>668</v>
      </c>
      <c r="B171" s="321" t="s">
        <v>125</v>
      </c>
      <c r="C171" s="318" t="s">
        <v>577</v>
      </c>
      <c r="D171">
        <v>14210</v>
      </c>
      <c r="E171" s="143">
        <v>142000</v>
      </c>
      <c r="F171" s="117">
        <v>1404</v>
      </c>
      <c r="G171" s="321" t="s">
        <v>304</v>
      </c>
      <c r="H171" s="144">
        <f>bargiri[[#This Row],[میزان بارگیری شده]]*bargiri[[#This Row],[فی]]</f>
        <v>2017820000</v>
      </c>
      <c r="I171" s="321">
        <f>IF(year=bargiri[[#This Row],[سال]],1,0)</f>
        <v>1</v>
      </c>
      <c r="X171" s="1"/>
      <c r="Y171" s="1"/>
      <c r="Z171" s="1"/>
    </row>
    <row r="172" spans="1:26" ht="18.600000000000001" hidden="1" x14ac:dyDescent="0.25">
      <c r="A172" s="321" t="s">
        <v>668</v>
      </c>
      <c r="B172" s="321" t="s">
        <v>98</v>
      </c>
      <c r="C172" s="318" t="s">
        <v>545</v>
      </c>
      <c r="D172">
        <v>19805</v>
      </c>
      <c r="E172" s="143">
        <v>151200</v>
      </c>
      <c r="F172" s="117">
        <v>1404</v>
      </c>
      <c r="G172" s="321" t="s">
        <v>304</v>
      </c>
      <c r="H172" s="144">
        <f>bargiri[[#This Row],[میزان بارگیری شده]]*bargiri[[#This Row],[فی]]</f>
        <v>2994516000</v>
      </c>
      <c r="I172" s="321">
        <f>IF(year=bargiri[[#This Row],[سال]],1,0)</f>
        <v>1</v>
      </c>
      <c r="X172" s="1"/>
      <c r="Y172" s="1"/>
      <c r="Z172" s="1"/>
    </row>
    <row r="173" spans="1:26" ht="18.600000000000001" hidden="1" x14ac:dyDescent="0.25">
      <c r="A173" s="321" t="s">
        <v>668</v>
      </c>
      <c r="B173" s="321" t="s">
        <v>98</v>
      </c>
      <c r="C173" s="318" t="s">
        <v>651</v>
      </c>
      <c r="D173">
        <v>2430</v>
      </c>
      <c r="E173" s="143">
        <v>151200</v>
      </c>
      <c r="F173" s="117">
        <v>1404</v>
      </c>
      <c r="G173" s="321" t="s">
        <v>304</v>
      </c>
      <c r="H173" s="144">
        <f>bargiri[[#This Row],[میزان بارگیری شده]]*bargiri[[#This Row],[فی]]</f>
        <v>367416000</v>
      </c>
      <c r="I173" s="321">
        <f>IF(year=bargiri[[#This Row],[سال]],1,0)</f>
        <v>1</v>
      </c>
      <c r="X173" s="1"/>
      <c r="Y173" s="1"/>
      <c r="Z173" s="1"/>
    </row>
    <row r="174" spans="1:26" ht="18.600000000000001" hidden="1" x14ac:dyDescent="0.25">
      <c r="A174" s="321" t="s">
        <v>669</v>
      </c>
      <c r="B174" s="321" t="s">
        <v>99</v>
      </c>
      <c r="C174" s="318" t="s">
        <v>12</v>
      </c>
      <c r="D174">
        <v>19125</v>
      </c>
      <c r="E174" s="143">
        <v>86500</v>
      </c>
      <c r="F174" s="117">
        <v>1404</v>
      </c>
      <c r="G174" s="321" t="s">
        <v>304</v>
      </c>
      <c r="H174" s="144">
        <f>bargiri[[#This Row],[میزان بارگیری شده]]*bargiri[[#This Row],[فی]]</f>
        <v>1654312500</v>
      </c>
      <c r="I174" s="321">
        <f>IF(year=bargiri[[#This Row],[سال]],1,0)</f>
        <v>1</v>
      </c>
      <c r="X174" s="1"/>
      <c r="Y174" s="1"/>
      <c r="Z174" s="1"/>
    </row>
    <row r="175" spans="1:26" ht="18.600000000000001" hidden="1" x14ac:dyDescent="0.25">
      <c r="A175" s="321" t="s">
        <v>669</v>
      </c>
      <c r="B175" s="321" t="s">
        <v>104</v>
      </c>
      <c r="C175" s="318" t="s">
        <v>569</v>
      </c>
      <c r="D175">
        <v>16910</v>
      </c>
      <c r="E175" s="143">
        <v>142000</v>
      </c>
      <c r="F175" s="117">
        <v>1404</v>
      </c>
      <c r="G175" s="321" t="s">
        <v>304</v>
      </c>
      <c r="H175" s="144">
        <f>bargiri[[#This Row],[میزان بارگیری شده]]*bargiri[[#This Row],[فی]]</f>
        <v>2401220000</v>
      </c>
      <c r="I175" s="321">
        <f>IF(year=bargiri[[#This Row],[سال]],1,0)</f>
        <v>1</v>
      </c>
      <c r="X175" s="1"/>
      <c r="Y175" s="1"/>
      <c r="Z175" s="1"/>
    </row>
    <row r="176" spans="1:26" ht="18.600000000000001" hidden="1" x14ac:dyDescent="0.25">
      <c r="A176" s="321" t="s">
        <v>669</v>
      </c>
      <c r="B176" s="321" t="s">
        <v>99</v>
      </c>
      <c r="C176" s="318" t="s">
        <v>12</v>
      </c>
      <c r="D176">
        <v>7045</v>
      </c>
      <c r="E176" s="143">
        <v>86500</v>
      </c>
      <c r="F176" s="117">
        <v>1404</v>
      </c>
      <c r="G176" s="321" t="s">
        <v>304</v>
      </c>
      <c r="H176" s="144">
        <f>bargiri[[#This Row],[میزان بارگیری شده]]*bargiri[[#This Row],[فی]]</f>
        <v>609392500</v>
      </c>
      <c r="I176" s="321">
        <f>IF(year=bargiri[[#This Row],[سال]],1,0)</f>
        <v>1</v>
      </c>
      <c r="X176" s="1"/>
      <c r="Y176" s="1"/>
      <c r="Z176" s="1"/>
    </row>
    <row r="177" spans="1:26" ht="18.600000000000001" hidden="1" x14ac:dyDescent="0.25">
      <c r="A177" s="321" t="s">
        <v>669</v>
      </c>
      <c r="B177" s="321" t="s">
        <v>109</v>
      </c>
      <c r="C177" s="318" t="s">
        <v>570</v>
      </c>
      <c r="D177">
        <v>20005</v>
      </c>
      <c r="E177" s="143">
        <v>142000</v>
      </c>
      <c r="F177" s="117">
        <v>1404</v>
      </c>
      <c r="G177" s="321" t="s">
        <v>304</v>
      </c>
      <c r="H177" s="144">
        <f>bargiri[[#This Row],[میزان بارگیری شده]]*bargiri[[#This Row],[فی]]</f>
        <v>2840710000</v>
      </c>
      <c r="I177" s="321">
        <f>IF(year=bargiri[[#This Row],[سال]],1,0)</f>
        <v>1</v>
      </c>
      <c r="X177" s="1"/>
      <c r="Y177" s="1"/>
      <c r="Z177" s="1"/>
    </row>
    <row r="178" spans="1:26" ht="18.600000000000001" hidden="1" x14ac:dyDescent="0.25">
      <c r="A178" s="321" t="s">
        <v>669</v>
      </c>
      <c r="B178" s="321" t="s">
        <v>103</v>
      </c>
      <c r="C178" s="318" t="s">
        <v>566</v>
      </c>
      <c r="D178">
        <v>7535</v>
      </c>
      <c r="E178" s="143">
        <v>142000</v>
      </c>
      <c r="F178" s="117">
        <v>1404</v>
      </c>
      <c r="G178" s="321" t="s">
        <v>304</v>
      </c>
      <c r="H178" s="144">
        <f>bargiri[[#This Row],[میزان بارگیری شده]]*bargiri[[#This Row],[فی]]</f>
        <v>1069970000</v>
      </c>
      <c r="I178" s="321">
        <f>IF(year=bargiri[[#This Row],[سال]],1,0)</f>
        <v>1</v>
      </c>
      <c r="X178" s="1"/>
      <c r="Y178" s="1"/>
      <c r="Z178" s="1"/>
    </row>
    <row r="179" spans="1:26" ht="18.600000000000001" hidden="1" x14ac:dyDescent="0.25">
      <c r="A179" s="321" t="s">
        <v>669</v>
      </c>
      <c r="B179" s="321" t="s">
        <v>103</v>
      </c>
      <c r="C179" s="318" t="s">
        <v>566</v>
      </c>
      <c r="D179">
        <v>7250</v>
      </c>
      <c r="E179" s="143">
        <v>142000</v>
      </c>
      <c r="F179" s="117">
        <v>1404</v>
      </c>
      <c r="G179" s="321" t="s">
        <v>304</v>
      </c>
      <c r="H179" s="144">
        <f>bargiri[[#This Row],[میزان بارگیری شده]]*bargiri[[#This Row],[فی]]</f>
        <v>1029500000</v>
      </c>
      <c r="I179" s="321">
        <f>IF(year=bargiri[[#This Row],[سال]],1,0)</f>
        <v>1</v>
      </c>
      <c r="X179" s="1"/>
      <c r="Y179" s="1"/>
      <c r="Z179" s="1"/>
    </row>
    <row r="180" spans="1:26" ht="18.600000000000001" hidden="1" x14ac:dyDescent="0.25">
      <c r="A180" s="321" t="s">
        <v>670</v>
      </c>
      <c r="B180" s="321" t="s">
        <v>116</v>
      </c>
      <c r="C180" s="318" t="s">
        <v>71</v>
      </c>
      <c r="D180">
        <v>19990</v>
      </c>
      <c r="E180" s="143">
        <v>83800</v>
      </c>
      <c r="F180" s="117">
        <v>1404</v>
      </c>
      <c r="G180" s="321" t="s">
        <v>304</v>
      </c>
      <c r="H180" s="144">
        <f>bargiri[[#This Row],[میزان بارگیری شده]]*bargiri[[#This Row],[فی]]</f>
        <v>1675162000</v>
      </c>
      <c r="I180" s="321">
        <f>IF(year=bargiri[[#This Row],[سال]],1,0)</f>
        <v>1</v>
      </c>
      <c r="X180" s="1"/>
      <c r="Y180" s="1"/>
      <c r="Z180" s="1"/>
    </row>
    <row r="181" spans="1:26" ht="18.600000000000001" hidden="1" x14ac:dyDescent="0.25">
      <c r="A181" s="321" t="s">
        <v>670</v>
      </c>
      <c r="B181" s="321" t="s">
        <v>116</v>
      </c>
      <c r="C181" s="318" t="s">
        <v>71</v>
      </c>
      <c r="D181">
        <v>20005</v>
      </c>
      <c r="E181" s="143">
        <v>83800</v>
      </c>
      <c r="F181" s="117">
        <v>1404</v>
      </c>
      <c r="G181" s="321" t="s">
        <v>304</v>
      </c>
      <c r="H181" s="144">
        <f>bargiri[[#This Row],[میزان بارگیری شده]]*bargiri[[#This Row],[فی]]</f>
        <v>1676419000</v>
      </c>
      <c r="I181" s="321">
        <f>IF(year=bargiri[[#This Row],[سال]],1,0)</f>
        <v>1</v>
      </c>
      <c r="X181" s="1"/>
      <c r="Y181" s="1"/>
      <c r="Z181" s="1"/>
    </row>
    <row r="182" spans="1:26" ht="18.600000000000001" x14ac:dyDescent="0.25">
      <c r="A182" s="321" t="s">
        <v>670</v>
      </c>
      <c r="B182" s="321" t="s">
        <v>118</v>
      </c>
      <c r="C182" s="318" t="s">
        <v>84</v>
      </c>
      <c r="D182">
        <v>20940</v>
      </c>
      <c r="E182" s="143">
        <v>57273</v>
      </c>
      <c r="F182" s="117">
        <v>1404</v>
      </c>
      <c r="G182" s="321" t="s">
        <v>304</v>
      </c>
      <c r="H182" s="144">
        <f>bargiri[[#This Row],[میزان بارگیری شده]]*bargiri[[#This Row],[فی]]</f>
        <v>1199296620</v>
      </c>
      <c r="I182" s="321">
        <f>IF(year=bargiri[[#This Row],[سال]],1,0)</f>
        <v>1</v>
      </c>
      <c r="X182" s="1"/>
      <c r="Y182" s="1"/>
      <c r="Z182" s="1"/>
    </row>
    <row r="183" spans="1:26" ht="18.600000000000001" x14ac:dyDescent="0.25">
      <c r="A183" s="321" t="s">
        <v>670</v>
      </c>
      <c r="B183" s="321" t="s">
        <v>118</v>
      </c>
      <c r="C183" s="318" t="s">
        <v>84</v>
      </c>
      <c r="D183">
        <v>20510</v>
      </c>
      <c r="E183" s="143">
        <v>57273</v>
      </c>
      <c r="F183" s="117">
        <v>1404</v>
      </c>
      <c r="G183" s="321" t="s">
        <v>304</v>
      </c>
      <c r="H183" s="144">
        <f>bargiri[[#This Row],[میزان بارگیری شده]]*bargiri[[#This Row],[فی]]</f>
        <v>1174669230</v>
      </c>
      <c r="I183" s="321">
        <f>IF(year=bargiri[[#This Row],[سال]],1,0)</f>
        <v>1</v>
      </c>
      <c r="X183" s="1"/>
      <c r="Y183" s="1"/>
      <c r="Z183" s="1"/>
    </row>
    <row r="184" spans="1:26" ht="18.600000000000001" x14ac:dyDescent="0.25">
      <c r="A184" s="321" t="s">
        <v>670</v>
      </c>
      <c r="B184" s="321" t="s">
        <v>118</v>
      </c>
      <c r="C184" s="318" t="s">
        <v>84</v>
      </c>
      <c r="D184">
        <v>20695</v>
      </c>
      <c r="E184" s="143">
        <v>57273</v>
      </c>
      <c r="F184" s="117">
        <v>1404</v>
      </c>
      <c r="G184" s="321" t="s">
        <v>304</v>
      </c>
      <c r="H184" s="144">
        <f>bargiri[[#This Row],[میزان بارگیری شده]]*bargiri[[#This Row],[فی]]</f>
        <v>1185264735</v>
      </c>
      <c r="I184" s="321">
        <f>IF(year=bargiri[[#This Row],[سال]],1,0)</f>
        <v>1</v>
      </c>
      <c r="X184" s="1"/>
      <c r="Y184" s="1"/>
      <c r="Z184" s="1"/>
    </row>
    <row r="185" spans="1:26" ht="18.600000000000001" x14ac:dyDescent="0.25">
      <c r="A185" s="321" t="s">
        <v>670</v>
      </c>
      <c r="B185" s="321" t="s">
        <v>118</v>
      </c>
      <c r="C185" s="318" t="s">
        <v>84</v>
      </c>
      <c r="D185">
        <v>21075</v>
      </c>
      <c r="E185" s="143">
        <v>57273</v>
      </c>
      <c r="F185" s="117">
        <v>1404</v>
      </c>
      <c r="G185" s="321" t="s">
        <v>304</v>
      </c>
      <c r="H185" s="144">
        <f>bargiri[[#This Row],[میزان بارگیری شده]]*bargiri[[#This Row],[فی]]</f>
        <v>1207028475</v>
      </c>
      <c r="I185" s="321">
        <f>IF(year=bargiri[[#This Row],[سال]],1,0)</f>
        <v>1</v>
      </c>
      <c r="X185" s="1"/>
      <c r="Y185" s="1"/>
      <c r="Z185" s="1"/>
    </row>
    <row r="186" spans="1:26" ht="18.600000000000001" hidden="1" x14ac:dyDescent="0.25">
      <c r="A186" s="321" t="s">
        <v>671</v>
      </c>
      <c r="B186" s="321" t="s">
        <v>102</v>
      </c>
      <c r="C186" s="318" t="s">
        <v>24</v>
      </c>
      <c r="D186">
        <v>10360</v>
      </c>
      <c r="E186" s="143">
        <v>70000</v>
      </c>
      <c r="F186" s="117">
        <v>1404</v>
      </c>
      <c r="G186" s="321" t="s">
        <v>304</v>
      </c>
      <c r="H186" s="144">
        <f>bargiri[[#This Row],[میزان بارگیری شده]]*bargiri[[#This Row],[فی]]</f>
        <v>725200000</v>
      </c>
      <c r="I186" s="321">
        <f>IF(year=bargiri[[#This Row],[سال]],1,0)</f>
        <v>1</v>
      </c>
      <c r="X186" s="1"/>
      <c r="Y186" s="1"/>
      <c r="Z186" s="1"/>
    </row>
    <row r="187" spans="1:26" ht="18.600000000000001" hidden="1" x14ac:dyDescent="0.25">
      <c r="A187" s="321" t="s">
        <v>671</v>
      </c>
      <c r="B187" s="321" t="s">
        <v>104</v>
      </c>
      <c r="C187" s="318" t="s">
        <v>569</v>
      </c>
      <c r="D187">
        <v>17985</v>
      </c>
      <c r="E187" s="143">
        <v>142000</v>
      </c>
      <c r="F187" s="117">
        <v>1404</v>
      </c>
      <c r="G187" s="321" t="s">
        <v>304</v>
      </c>
      <c r="H187" s="144">
        <f>bargiri[[#This Row],[میزان بارگیری شده]]*bargiri[[#This Row],[فی]]</f>
        <v>2553870000</v>
      </c>
      <c r="I187" s="321">
        <f>IF(year=bargiri[[#This Row],[سال]],1,0)</f>
        <v>1</v>
      </c>
      <c r="X187" s="1"/>
      <c r="Y187" s="1"/>
      <c r="Z187" s="1"/>
    </row>
    <row r="188" spans="1:26" ht="18.600000000000001" hidden="1" x14ac:dyDescent="0.25">
      <c r="A188" s="321" t="s">
        <v>671</v>
      </c>
      <c r="B188" s="321" t="s">
        <v>106</v>
      </c>
      <c r="C188" s="318" t="s">
        <v>44</v>
      </c>
      <c r="D188">
        <v>20070</v>
      </c>
      <c r="E188" s="143">
        <v>80000</v>
      </c>
      <c r="F188" s="117">
        <v>1404</v>
      </c>
      <c r="G188" s="321" t="s">
        <v>304</v>
      </c>
      <c r="H188" s="144">
        <f>bargiri[[#This Row],[میزان بارگیری شده]]*bargiri[[#This Row],[فی]]</f>
        <v>1605600000</v>
      </c>
      <c r="I188" s="321">
        <f>IF(year=bargiri[[#This Row],[سال]],1,0)</f>
        <v>1</v>
      </c>
      <c r="X188" s="1"/>
      <c r="Y188" s="1"/>
      <c r="Z188" s="1"/>
    </row>
    <row r="189" spans="1:26" ht="18.600000000000001" hidden="1" x14ac:dyDescent="0.25">
      <c r="A189" s="321" t="s">
        <v>671</v>
      </c>
      <c r="B189" s="321" t="s">
        <v>99</v>
      </c>
      <c r="C189" s="318" t="s">
        <v>12</v>
      </c>
      <c r="D189">
        <v>18600</v>
      </c>
      <c r="E189" s="143">
        <v>86500</v>
      </c>
      <c r="F189" s="117">
        <v>1404</v>
      </c>
      <c r="G189" s="321" t="s">
        <v>304</v>
      </c>
      <c r="H189" s="144">
        <f>bargiri[[#This Row],[میزان بارگیری شده]]*bargiri[[#This Row],[فی]]</f>
        <v>1608900000</v>
      </c>
      <c r="I189" s="321">
        <f>IF(year=bargiri[[#This Row],[سال]],1,0)</f>
        <v>1</v>
      </c>
      <c r="X189" s="1"/>
      <c r="Y189" s="1"/>
      <c r="Z189" s="1"/>
    </row>
    <row r="190" spans="1:26" ht="18.600000000000001" hidden="1" x14ac:dyDescent="0.25">
      <c r="A190" s="321" t="s">
        <v>672</v>
      </c>
      <c r="B190" s="321" t="s">
        <v>99</v>
      </c>
      <c r="C190" s="318" t="s">
        <v>12</v>
      </c>
      <c r="D190">
        <v>18985</v>
      </c>
      <c r="E190" s="143">
        <v>86500</v>
      </c>
      <c r="F190" s="117">
        <v>1404</v>
      </c>
      <c r="G190" s="321" t="s">
        <v>304</v>
      </c>
      <c r="H190" s="144">
        <f>bargiri[[#This Row],[میزان بارگیری شده]]*bargiri[[#This Row],[فی]]</f>
        <v>1642202500</v>
      </c>
      <c r="I190" s="321">
        <f>IF(year=bargiri[[#This Row],[سال]],1,0)</f>
        <v>1</v>
      </c>
      <c r="X190" s="1"/>
      <c r="Y190" s="1"/>
      <c r="Z190" s="1"/>
    </row>
    <row r="191" spans="1:26" ht="18.600000000000001" hidden="1" x14ac:dyDescent="0.25">
      <c r="A191" s="321" t="s">
        <v>672</v>
      </c>
      <c r="B191" s="321" t="s">
        <v>117</v>
      </c>
      <c r="C191" s="318" t="s">
        <v>573</v>
      </c>
      <c r="D191">
        <v>19950</v>
      </c>
      <c r="E191" s="143">
        <v>142000</v>
      </c>
      <c r="F191" s="117">
        <v>1404</v>
      </c>
      <c r="G191" s="321" t="s">
        <v>304</v>
      </c>
      <c r="H191" s="144">
        <f>bargiri[[#This Row],[میزان بارگیری شده]]*bargiri[[#This Row],[فی]]</f>
        <v>2832900000</v>
      </c>
      <c r="I191" s="321">
        <f>IF(year=bargiri[[#This Row],[سال]],1,0)</f>
        <v>1</v>
      </c>
      <c r="X191" s="1"/>
      <c r="Y191" s="1"/>
      <c r="Z191" s="1"/>
    </row>
    <row r="192" spans="1:26" ht="18.600000000000001" hidden="1" x14ac:dyDescent="0.25">
      <c r="A192" s="321" t="s">
        <v>673</v>
      </c>
      <c r="B192" s="321" t="s">
        <v>123</v>
      </c>
      <c r="C192" s="318" t="s">
        <v>536</v>
      </c>
      <c r="D192">
        <v>7715</v>
      </c>
      <c r="E192" s="143">
        <v>100000</v>
      </c>
      <c r="F192" s="117">
        <v>1404</v>
      </c>
      <c r="G192" s="321" t="s">
        <v>304</v>
      </c>
      <c r="H192" s="144">
        <f>bargiri[[#This Row],[میزان بارگیری شده]]*bargiri[[#This Row],[فی]]</f>
        <v>771500000</v>
      </c>
      <c r="I192" s="321">
        <f>IF(year=bargiri[[#This Row],[سال]],1,0)</f>
        <v>1</v>
      </c>
      <c r="X192" s="1"/>
      <c r="Y192" s="1"/>
      <c r="Z192" s="1"/>
    </row>
    <row r="193" spans="1:26" ht="18.600000000000001" hidden="1" x14ac:dyDescent="0.25">
      <c r="A193" s="321" t="s">
        <v>617</v>
      </c>
      <c r="B193" s="321" t="s">
        <v>99</v>
      </c>
      <c r="C193" s="318" t="s">
        <v>12</v>
      </c>
      <c r="D193">
        <v>19995</v>
      </c>
      <c r="E193" s="143">
        <v>86500</v>
      </c>
      <c r="F193" s="117">
        <v>1404</v>
      </c>
      <c r="G193" s="321" t="s">
        <v>304</v>
      </c>
      <c r="H193" s="144">
        <f>bargiri[[#This Row],[میزان بارگیری شده]]*bargiri[[#This Row],[فی]]</f>
        <v>1729567500</v>
      </c>
      <c r="I193" s="321">
        <f>IF(year=bargiri[[#This Row],[سال]],1,0)</f>
        <v>1</v>
      </c>
      <c r="X193" s="1"/>
      <c r="Y193" s="1"/>
      <c r="Z193" s="1"/>
    </row>
    <row r="194" spans="1:26" ht="18.600000000000001" hidden="1" x14ac:dyDescent="0.25">
      <c r="A194" s="321" t="s">
        <v>618</v>
      </c>
      <c r="B194" s="321" t="s">
        <v>99</v>
      </c>
      <c r="C194" s="318" t="s">
        <v>12</v>
      </c>
      <c r="D194">
        <v>19155</v>
      </c>
      <c r="E194" s="143">
        <v>86500</v>
      </c>
      <c r="F194" s="117">
        <v>1404</v>
      </c>
      <c r="G194" s="321" t="s">
        <v>304</v>
      </c>
      <c r="H194" s="144">
        <f>bargiri[[#This Row],[میزان بارگیری شده]]*bargiri[[#This Row],[فی]]</f>
        <v>1656907500</v>
      </c>
      <c r="I194" s="321">
        <f>IF(year=bargiri[[#This Row],[سال]],1,0)</f>
        <v>1</v>
      </c>
      <c r="X194" s="1"/>
      <c r="Y194" s="1"/>
      <c r="Z194" s="1"/>
    </row>
    <row r="195" spans="1:26" ht="18.600000000000001" hidden="1" x14ac:dyDescent="0.25">
      <c r="A195" s="321" t="s">
        <v>619</v>
      </c>
      <c r="B195" s="321" t="s">
        <v>106</v>
      </c>
      <c r="C195" s="318" t="s">
        <v>44</v>
      </c>
      <c r="D195">
        <v>20570</v>
      </c>
      <c r="E195" s="143">
        <v>80000</v>
      </c>
      <c r="F195" s="117">
        <v>1404</v>
      </c>
      <c r="G195" s="321" t="s">
        <v>304</v>
      </c>
      <c r="H195" s="144">
        <f>bargiri[[#This Row],[میزان بارگیری شده]]*bargiri[[#This Row],[فی]]</f>
        <v>1645600000</v>
      </c>
      <c r="I195" s="321">
        <f>IF(year=bargiri[[#This Row],[سال]],1,0)</f>
        <v>1</v>
      </c>
      <c r="X195" s="1"/>
      <c r="Y195" s="1"/>
      <c r="Z195" s="1"/>
    </row>
    <row r="196" spans="1:26" ht="18.600000000000001" hidden="1" x14ac:dyDescent="0.25">
      <c r="A196" s="321" t="s">
        <v>619</v>
      </c>
      <c r="B196" s="321" t="s">
        <v>98</v>
      </c>
      <c r="C196" s="318" t="s">
        <v>541</v>
      </c>
      <c r="D196">
        <v>19910</v>
      </c>
      <c r="E196" s="143">
        <v>151200</v>
      </c>
      <c r="F196" s="117">
        <v>1404</v>
      </c>
      <c r="G196" s="321" t="s">
        <v>304</v>
      </c>
      <c r="H196" s="144">
        <f>bargiri[[#This Row],[میزان بارگیری شده]]*bargiri[[#This Row],[فی]]</f>
        <v>3010392000</v>
      </c>
      <c r="I196" s="321">
        <f>IF(year=bargiri[[#This Row],[سال]],1,0)</f>
        <v>1</v>
      </c>
      <c r="X196" s="1"/>
      <c r="Y196" s="1"/>
      <c r="Z196" s="1"/>
    </row>
    <row r="197" spans="1:26" ht="18.600000000000001" hidden="1" x14ac:dyDescent="0.25">
      <c r="A197" s="321" t="s">
        <v>619</v>
      </c>
      <c r="B197" s="321" t="s">
        <v>98</v>
      </c>
      <c r="C197" s="318" t="s">
        <v>545</v>
      </c>
      <c r="D197">
        <v>195</v>
      </c>
      <c r="E197" s="143">
        <v>151200</v>
      </c>
      <c r="F197" s="117">
        <v>1404</v>
      </c>
      <c r="G197" s="321" t="s">
        <v>304</v>
      </c>
      <c r="H197" s="144">
        <f>bargiri[[#This Row],[میزان بارگیری شده]]*bargiri[[#This Row],[فی]]</f>
        <v>29484000</v>
      </c>
      <c r="I197" s="321">
        <f>IF(year=bargiri[[#This Row],[سال]],1,0)</f>
        <v>1</v>
      </c>
      <c r="X197" s="1"/>
      <c r="Y197" s="1"/>
      <c r="Z197" s="1"/>
    </row>
    <row r="198" spans="1:26" ht="18.600000000000001" hidden="1" x14ac:dyDescent="0.25">
      <c r="A198" s="321" t="s">
        <v>619</v>
      </c>
      <c r="B198" s="321" t="s">
        <v>99</v>
      </c>
      <c r="C198" s="318" t="s">
        <v>12</v>
      </c>
      <c r="D198">
        <v>18955</v>
      </c>
      <c r="E198" s="143">
        <v>86500</v>
      </c>
      <c r="F198" s="117">
        <v>1404</v>
      </c>
      <c r="G198" s="321" t="s">
        <v>304</v>
      </c>
      <c r="H198" s="144">
        <f>bargiri[[#This Row],[میزان بارگیری شده]]*bargiri[[#This Row],[فی]]</f>
        <v>1639607500</v>
      </c>
      <c r="I198" s="321">
        <f>IF(year=bargiri[[#This Row],[سال]],1,0)</f>
        <v>1</v>
      </c>
      <c r="X198" s="1"/>
      <c r="Y198" s="1"/>
      <c r="Z198" s="1"/>
    </row>
    <row r="199" spans="1:26" ht="18.600000000000001" x14ac:dyDescent="0.25">
      <c r="A199" s="321" t="s">
        <v>619</v>
      </c>
      <c r="B199" s="321" t="s">
        <v>118</v>
      </c>
      <c r="C199" s="318" t="s">
        <v>84</v>
      </c>
      <c r="D199">
        <v>20430</v>
      </c>
      <c r="E199" s="143">
        <v>57273</v>
      </c>
      <c r="F199" s="117">
        <v>1404</v>
      </c>
      <c r="G199" s="321" t="s">
        <v>304</v>
      </c>
      <c r="H199" s="144">
        <f>bargiri[[#This Row],[میزان بارگیری شده]]*bargiri[[#This Row],[فی]]</f>
        <v>1170087390</v>
      </c>
      <c r="I199" s="321">
        <f>IF(year=bargiri[[#This Row],[سال]],1,0)</f>
        <v>1</v>
      </c>
      <c r="X199" s="1"/>
      <c r="Y199" s="1"/>
      <c r="Z199" s="1"/>
    </row>
    <row r="200" spans="1:26" ht="18.600000000000001" x14ac:dyDescent="0.25">
      <c r="A200" s="321" t="s">
        <v>619</v>
      </c>
      <c r="B200" s="321" t="s">
        <v>118</v>
      </c>
      <c r="C200" s="318" t="s">
        <v>84</v>
      </c>
      <c r="D200">
        <v>20505</v>
      </c>
      <c r="E200" s="143">
        <v>57273</v>
      </c>
      <c r="F200" s="117">
        <v>1404</v>
      </c>
      <c r="G200" s="321" t="s">
        <v>304</v>
      </c>
      <c r="H200" s="144">
        <f>bargiri[[#This Row],[میزان بارگیری شده]]*bargiri[[#This Row],[فی]]</f>
        <v>1174382865</v>
      </c>
      <c r="I200" s="321">
        <f>IF(year=bargiri[[#This Row],[سال]],1,0)</f>
        <v>1</v>
      </c>
      <c r="X200" s="1"/>
      <c r="Y200" s="1"/>
      <c r="Z200" s="1"/>
    </row>
    <row r="201" spans="1:26" ht="18.600000000000001" hidden="1" x14ac:dyDescent="0.25">
      <c r="A201" s="321" t="s">
        <v>619</v>
      </c>
      <c r="B201" s="321" t="s">
        <v>114</v>
      </c>
      <c r="C201" s="318" t="s">
        <v>62</v>
      </c>
      <c r="D201">
        <v>22105</v>
      </c>
      <c r="E201" s="143">
        <v>75000</v>
      </c>
      <c r="F201" s="117">
        <v>1404</v>
      </c>
      <c r="G201" s="321" t="s">
        <v>304</v>
      </c>
      <c r="H201" s="144">
        <f>bargiri[[#This Row],[میزان بارگیری شده]]*bargiri[[#This Row],[فی]]</f>
        <v>1657875000</v>
      </c>
      <c r="I201" s="321">
        <f>IF(year=bargiri[[#This Row],[سال]],1,0)</f>
        <v>1</v>
      </c>
      <c r="X201" s="1"/>
      <c r="Y201" s="1"/>
      <c r="Z201" s="1"/>
    </row>
    <row r="202" spans="1:26" ht="18.600000000000001" hidden="1" x14ac:dyDescent="0.25">
      <c r="A202" s="321" t="s">
        <v>619</v>
      </c>
      <c r="B202" s="321" t="s">
        <v>99</v>
      </c>
      <c r="C202" s="318" t="s">
        <v>12</v>
      </c>
      <c r="D202">
        <v>18870</v>
      </c>
      <c r="E202" s="143">
        <v>86500</v>
      </c>
      <c r="F202" s="117">
        <v>1404</v>
      </c>
      <c r="G202" s="321" t="s">
        <v>304</v>
      </c>
      <c r="H202" s="144">
        <f>bargiri[[#This Row],[میزان بارگیری شده]]*bargiri[[#This Row],[فی]]</f>
        <v>1632255000</v>
      </c>
      <c r="I202" s="321">
        <f>IF(year=bargiri[[#This Row],[سال]],1,0)</f>
        <v>1</v>
      </c>
      <c r="X202" s="1"/>
      <c r="Y202" s="1"/>
      <c r="Z202" s="1"/>
    </row>
    <row r="203" spans="1:26" ht="18.600000000000001" hidden="1" x14ac:dyDescent="0.25">
      <c r="A203" s="321" t="s">
        <v>612</v>
      </c>
      <c r="B203" s="321" t="s">
        <v>114</v>
      </c>
      <c r="C203" s="318" t="s">
        <v>62</v>
      </c>
      <c r="D203">
        <v>22060</v>
      </c>
      <c r="E203" s="143">
        <v>75000</v>
      </c>
      <c r="F203" s="117">
        <v>1404</v>
      </c>
      <c r="G203" s="321" t="s">
        <v>304</v>
      </c>
      <c r="H203" s="144">
        <f>bargiri[[#This Row],[میزان بارگیری شده]]*bargiri[[#This Row],[فی]]</f>
        <v>1654500000</v>
      </c>
      <c r="I203" s="321">
        <f>IF(year=bargiri[[#This Row],[سال]],1,0)</f>
        <v>1</v>
      </c>
      <c r="X203" s="1"/>
      <c r="Y203" s="1"/>
      <c r="Z203" s="1"/>
    </row>
    <row r="204" spans="1:26" ht="18.600000000000001" hidden="1" x14ac:dyDescent="0.25">
      <c r="A204" s="321" t="s">
        <v>613</v>
      </c>
      <c r="B204" s="321" t="s">
        <v>102</v>
      </c>
      <c r="C204" s="318" t="s">
        <v>24</v>
      </c>
      <c r="D204">
        <v>11445</v>
      </c>
      <c r="E204" s="143">
        <v>70000</v>
      </c>
      <c r="F204" s="117">
        <v>1404</v>
      </c>
      <c r="G204" s="321" t="s">
        <v>311</v>
      </c>
      <c r="H204" s="144">
        <f>bargiri[[#This Row],[میزان بارگیری شده]]*bargiri[[#This Row],[فی]]</f>
        <v>801150000</v>
      </c>
      <c r="I204" s="321">
        <f>IF(year=bargiri[[#This Row],[سال]],1,0)</f>
        <v>1</v>
      </c>
      <c r="X204" s="1"/>
      <c r="Y204" s="1"/>
      <c r="Z204" s="1"/>
    </row>
    <row r="205" spans="1:26" ht="18.600000000000001" hidden="1" x14ac:dyDescent="0.25">
      <c r="A205" s="321" t="s">
        <v>614</v>
      </c>
      <c r="B205" s="321" t="s">
        <v>116</v>
      </c>
      <c r="C205" s="318" t="s">
        <v>572</v>
      </c>
      <c r="D205">
        <v>20025</v>
      </c>
      <c r="E205" s="143">
        <v>142000</v>
      </c>
      <c r="F205" s="117">
        <v>1404</v>
      </c>
      <c r="G205" s="321" t="s">
        <v>311</v>
      </c>
      <c r="H205" s="144">
        <f>bargiri[[#This Row],[میزان بارگیری شده]]*bargiri[[#This Row],[فی]]</f>
        <v>2843550000</v>
      </c>
      <c r="I205" s="321">
        <f>IF(year=bargiri[[#This Row],[سال]],1,0)</f>
        <v>1</v>
      </c>
      <c r="X205" s="1"/>
      <c r="Y205" s="1"/>
      <c r="Z205" s="1"/>
    </row>
    <row r="206" spans="1:26" ht="18.600000000000001" hidden="1" x14ac:dyDescent="0.25">
      <c r="A206" s="321" t="s">
        <v>615</v>
      </c>
      <c r="B206" s="321" t="s">
        <v>117</v>
      </c>
      <c r="C206" s="318" t="s">
        <v>573</v>
      </c>
      <c r="D206">
        <v>20055</v>
      </c>
      <c r="E206" s="143">
        <v>142000</v>
      </c>
      <c r="F206" s="117">
        <v>1404</v>
      </c>
      <c r="G206" s="321" t="s">
        <v>311</v>
      </c>
      <c r="H206" s="144">
        <f>bargiri[[#This Row],[میزان بارگیری شده]]*bargiri[[#This Row],[فی]]</f>
        <v>2847810000</v>
      </c>
      <c r="I206" s="321">
        <f>IF(year=bargiri[[#This Row],[سال]],1,0)</f>
        <v>1</v>
      </c>
      <c r="X206" s="1"/>
      <c r="Y206" s="1"/>
      <c r="Z206" s="1"/>
    </row>
    <row r="207" spans="1:26" ht="18.600000000000001" hidden="1" x14ac:dyDescent="0.25">
      <c r="A207" s="321" t="s">
        <v>604</v>
      </c>
      <c r="B207" s="321" t="s">
        <v>116</v>
      </c>
      <c r="C207" s="318" t="s">
        <v>572</v>
      </c>
      <c r="D207">
        <v>8125</v>
      </c>
      <c r="E207" s="143">
        <v>142000</v>
      </c>
      <c r="F207" s="117">
        <v>1404</v>
      </c>
      <c r="G207" s="321" t="s">
        <v>311</v>
      </c>
      <c r="H207" s="144">
        <f>bargiri[[#This Row],[میزان بارگیری شده]]*bargiri[[#This Row],[فی]]</f>
        <v>1153750000</v>
      </c>
      <c r="I207" s="321">
        <f>IF(year=bargiri[[#This Row],[سال]],1,0)</f>
        <v>1</v>
      </c>
      <c r="X207" s="1"/>
      <c r="Y207" s="1"/>
      <c r="Z207" s="1"/>
    </row>
    <row r="208" spans="1:26" ht="18.600000000000001" hidden="1" x14ac:dyDescent="0.25">
      <c r="A208" s="321" t="s">
        <v>604</v>
      </c>
      <c r="B208" s="321" t="s">
        <v>116</v>
      </c>
      <c r="C208" s="318" t="s">
        <v>572</v>
      </c>
      <c r="D208">
        <v>18835</v>
      </c>
      <c r="E208" s="143">
        <v>142000</v>
      </c>
      <c r="F208" s="117">
        <v>1404</v>
      </c>
      <c r="G208" s="321" t="s">
        <v>311</v>
      </c>
      <c r="H208" s="144">
        <f>bargiri[[#This Row],[میزان بارگیری شده]]*bargiri[[#This Row],[فی]]</f>
        <v>2674570000</v>
      </c>
      <c r="I208" s="321">
        <f>IF(year=bargiri[[#This Row],[سال]],1,0)</f>
        <v>1</v>
      </c>
      <c r="X208" s="1"/>
      <c r="Y208" s="1"/>
      <c r="Z208" s="1"/>
    </row>
    <row r="209" spans="1:26" ht="18.600000000000001" hidden="1" x14ac:dyDescent="0.25">
      <c r="A209" s="321" t="s">
        <v>605</v>
      </c>
      <c r="B209" s="321" t="s">
        <v>116</v>
      </c>
      <c r="C209" s="318" t="s">
        <v>572</v>
      </c>
      <c r="D209">
        <v>15085</v>
      </c>
      <c r="E209" s="143">
        <v>142000</v>
      </c>
      <c r="F209" s="117">
        <v>1404</v>
      </c>
      <c r="G209" s="321" t="s">
        <v>311</v>
      </c>
      <c r="H209" s="144">
        <f>bargiri[[#This Row],[میزان بارگیری شده]]*bargiri[[#This Row],[فی]]</f>
        <v>2142070000</v>
      </c>
      <c r="I209" s="321">
        <f>IF(year=bargiri[[#This Row],[سال]],1,0)</f>
        <v>1</v>
      </c>
      <c r="X209" s="1"/>
      <c r="Y209" s="1"/>
      <c r="Z209" s="1"/>
    </row>
    <row r="210" spans="1:26" ht="18.600000000000001" hidden="1" x14ac:dyDescent="0.25">
      <c r="A210" s="321" t="s">
        <v>605</v>
      </c>
      <c r="B210" s="321" t="s">
        <v>116</v>
      </c>
      <c r="C210" s="318" t="s">
        <v>571</v>
      </c>
      <c r="D210">
        <v>3535</v>
      </c>
      <c r="E210" s="143">
        <v>142000</v>
      </c>
      <c r="F210" s="117">
        <v>1404</v>
      </c>
      <c r="G210" s="321" t="s">
        <v>311</v>
      </c>
      <c r="H210" s="144">
        <f>bargiri[[#This Row],[میزان بارگیری شده]]*bargiri[[#This Row],[فی]]</f>
        <v>501970000</v>
      </c>
      <c r="I210" s="321">
        <f>IF(year=bargiri[[#This Row],[سال]],1,0)</f>
        <v>1</v>
      </c>
      <c r="X210" s="1"/>
      <c r="Y210" s="1"/>
      <c r="Z210" s="1"/>
    </row>
    <row r="211" spans="1:26" ht="18.600000000000001" hidden="1" x14ac:dyDescent="0.25">
      <c r="A211" s="321" t="s">
        <v>605</v>
      </c>
      <c r="B211" s="321" t="s">
        <v>116</v>
      </c>
      <c r="C211" s="318" t="s">
        <v>572</v>
      </c>
      <c r="D211">
        <v>16465</v>
      </c>
      <c r="E211" s="143">
        <v>142000</v>
      </c>
      <c r="F211" s="117">
        <v>1404</v>
      </c>
      <c r="G211" s="321" t="s">
        <v>311</v>
      </c>
      <c r="H211" s="144">
        <f>bargiri[[#This Row],[میزان بارگیری شده]]*bargiri[[#This Row],[فی]]</f>
        <v>2338030000</v>
      </c>
      <c r="I211" s="321">
        <f>IF(year=bargiri[[#This Row],[سال]],1,0)</f>
        <v>1</v>
      </c>
      <c r="X211" s="1"/>
      <c r="Y211" s="1"/>
      <c r="Z211" s="1"/>
    </row>
    <row r="212" spans="1:26" ht="18.600000000000001" hidden="1" x14ac:dyDescent="0.25">
      <c r="A212" s="321" t="s">
        <v>605</v>
      </c>
      <c r="B212" s="321" t="s">
        <v>109</v>
      </c>
      <c r="C212" s="318" t="s">
        <v>570</v>
      </c>
      <c r="D212">
        <v>7305</v>
      </c>
      <c r="E212" s="143">
        <v>142000</v>
      </c>
      <c r="F212" s="117">
        <v>1404</v>
      </c>
      <c r="G212" s="321" t="s">
        <v>311</v>
      </c>
      <c r="H212" s="144">
        <f>bargiri[[#This Row],[میزان بارگیری شده]]*bargiri[[#This Row],[فی]]</f>
        <v>1037310000</v>
      </c>
      <c r="I212" s="321">
        <f>IF(year=bargiri[[#This Row],[سال]],1,0)</f>
        <v>1</v>
      </c>
      <c r="X212" s="1"/>
      <c r="Y212" s="1"/>
      <c r="Z212" s="1"/>
    </row>
    <row r="213" spans="1:26" ht="18.600000000000001" hidden="1" x14ac:dyDescent="0.25">
      <c r="A213" s="321" t="s">
        <v>606</v>
      </c>
      <c r="B213" s="321" t="s">
        <v>116</v>
      </c>
      <c r="C213" s="318" t="s">
        <v>571</v>
      </c>
      <c r="D213">
        <v>20115</v>
      </c>
      <c r="E213" s="143">
        <v>142000</v>
      </c>
      <c r="F213" s="117">
        <v>1404</v>
      </c>
      <c r="G213" s="321" t="s">
        <v>311</v>
      </c>
      <c r="H213" s="144">
        <f>bargiri[[#This Row],[میزان بارگیری شده]]*bargiri[[#This Row],[فی]]</f>
        <v>2856330000</v>
      </c>
      <c r="I213" s="321">
        <f>IF(year=bargiri[[#This Row],[سال]],1,0)</f>
        <v>1</v>
      </c>
      <c r="X213" s="1"/>
      <c r="Y213" s="1"/>
      <c r="Z213" s="1"/>
    </row>
    <row r="214" spans="1:26" ht="18.600000000000001" hidden="1" x14ac:dyDescent="0.25">
      <c r="A214" s="321" t="s">
        <v>607</v>
      </c>
      <c r="B214" s="321" t="s">
        <v>109</v>
      </c>
      <c r="C214" s="318" t="s">
        <v>570</v>
      </c>
      <c r="D214">
        <v>7500</v>
      </c>
      <c r="E214" s="143">
        <v>142000</v>
      </c>
      <c r="F214" s="117">
        <v>1404</v>
      </c>
      <c r="G214" s="321" t="s">
        <v>311</v>
      </c>
      <c r="H214" s="144">
        <f>bargiri[[#This Row],[میزان بارگیری شده]]*bargiri[[#This Row],[فی]]</f>
        <v>1065000000</v>
      </c>
      <c r="I214" s="321">
        <f>IF(year=bargiri[[#This Row],[سال]],1,0)</f>
        <v>1</v>
      </c>
      <c r="X214" s="1"/>
      <c r="Y214" s="1"/>
      <c r="Z214" s="1"/>
    </row>
    <row r="215" spans="1:26" ht="18.600000000000001" hidden="1" x14ac:dyDescent="0.25">
      <c r="A215" s="321" t="s">
        <v>607</v>
      </c>
      <c r="B215" s="321" t="s">
        <v>109</v>
      </c>
      <c r="C215" s="318" t="s">
        <v>570</v>
      </c>
      <c r="D215">
        <v>6670</v>
      </c>
      <c r="E215" s="143">
        <v>142000</v>
      </c>
      <c r="F215" s="117">
        <v>1404</v>
      </c>
      <c r="G215" s="321" t="s">
        <v>311</v>
      </c>
      <c r="H215" s="144">
        <f>bargiri[[#This Row],[میزان بارگیری شده]]*bargiri[[#This Row],[فی]]</f>
        <v>947140000</v>
      </c>
      <c r="I215" s="321">
        <f>IF(year=bargiri[[#This Row],[سال]],1,0)</f>
        <v>1</v>
      </c>
      <c r="X215" s="1"/>
      <c r="Y215" s="1"/>
      <c r="Z215" s="1"/>
    </row>
    <row r="216" spans="1:26" ht="18.600000000000001" hidden="1" x14ac:dyDescent="0.25">
      <c r="A216" s="321" t="s">
        <v>607</v>
      </c>
      <c r="B216" s="321" t="s">
        <v>102</v>
      </c>
      <c r="C216" s="318" t="s">
        <v>24</v>
      </c>
      <c r="D216">
        <v>11520</v>
      </c>
      <c r="E216" s="143">
        <v>70000</v>
      </c>
      <c r="F216" s="117">
        <v>1404</v>
      </c>
      <c r="G216" s="321" t="s">
        <v>311</v>
      </c>
      <c r="H216" s="144">
        <f>bargiri[[#This Row],[میزان بارگیری شده]]*bargiri[[#This Row],[فی]]</f>
        <v>806400000</v>
      </c>
      <c r="I216" s="321">
        <f>IF(year=bargiri[[#This Row],[سال]],1,0)</f>
        <v>1</v>
      </c>
      <c r="X216" s="1"/>
      <c r="Y216" s="1"/>
      <c r="Z216" s="1"/>
    </row>
    <row r="217" spans="1:26" ht="18.600000000000001" hidden="1" x14ac:dyDescent="0.25">
      <c r="A217" s="321" t="s">
        <v>608</v>
      </c>
      <c r="B217" s="321" t="s">
        <v>106</v>
      </c>
      <c r="C217" s="318" t="s">
        <v>44</v>
      </c>
      <c r="D217">
        <v>18690</v>
      </c>
      <c r="E217" s="143">
        <v>80000</v>
      </c>
      <c r="F217" s="117">
        <v>1404</v>
      </c>
      <c r="G217" s="321" t="s">
        <v>311</v>
      </c>
      <c r="H217" s="144">
        <f>bargiri[[#This Row],[میزان بارگیری شده]]*bargiri[[#This Row],[فی]]</f>
        <v>1495200000</v>
      </c>
      <c r="I217" s="321">
        <f>IF(year=bargiri[[#This Row],[سال]],1,0)</f>
        <v>1</v>
      </c>
      <c r="X217" s="1"/>
      <c r="Y217" s="1"/>
      <c r="Z217" s="1"/>
    </row>
    <row r="218" spans="1:26" ht="18.600000000000001" hidden="1" x14ac:dyDescent="0.25">
      <c r="A218" s="321" t="s">
        <v>608</v>
      </c>
      <c r="B218" s="321" t="s">
        <v>122</v>
      </c>
      <c r="C218" s="318" t="s">
        <v>575</v>
      </c>
      <c r="D218">
        <v>22840</v>
      </c>
      <c r="E218" s="143">
        <v>142000</v>
      </c>
      <c r="F218" s="117">
        <v>1404</v>
      </c>
      <c r="G218" s="321" t="s">
        <v>311</v>
      </c>
      <c r="H218" s="144">
        <f>bargiri[[#This Row],[میزان بارگیری شده]]*bargiri[[#This Row],[فی]]</f>
        <v>3243280000</v>
      </c>
      <c r="I218" s="321">
        <f>IF(year=bargiri[[#This Row],[سال]],1,0)</f>
        <v>1</v>
      </c>
      <c r="X218" s="1"/>
      <c r="Y218" s="1"/>
      <c r="Z218" s="1"/>
    </row>
    <row r="219" spans="1:26" ht="18.600000000000001" hidden="1" x14ac:dyDescent="0.25">
      <c r="A219" s="321" t="s">
        <v>608</v>
      </c>
      <c r="B219" s="321" t="s">
        <v>109</v>
      </c>
      <c r="C219" s="318" t="s">
        <v>570</v>
      </c>
      <c r="D219">
        <v>19770</v>
      </c>
      <c r="E219" s="143">
        <v>142000</v>
      </c>
      <c r="F219" s="117">
        <v>1404</v>
      </c>
      <c r="G219" s="321" t="s">
        <v>311</v>
      </c>
      <c r="H219" s="144">
        <f>bargiri[[#This Row],[میزان بارگیری شده]]*bargiri[[#This Row],[فی]]</f>
        <v>2807340000</v>
      </c>
      <c r="I219" s="321">
        <f>IF(year=bargiri[[#This Row],[سال]],1,0)</f>
        <v>1</v>
      </c>
      <c r="X219" s="1"/>
      <c r="Y219" s="1"/>
      <c r="Z219" s="1"/>
    </row>
    <row r="220" spans="1:26" ht="18.600000000000001" hidden="1" x14ac:dyDescent="0.25">
      <c r="A220" s="321" t="s">
        <v>608</v>
      </c>
      <c r="B220" s="321" t="s">
        <v>116</v>
      </c>
      <c r="C220" s="318" t="s">
        <v>571</v>
      </c>
      <c r="D220">
        <v>19945</v>
      </c>
      <c r="E220" s="143">
        <v>142000</v>
      </c>
      <c r="F220" s="117">
        <v>1404</v>
      </c>
      <c r="G220" s="321" t="s">
        <v>311</v>
      </c>
      <c r="H220" s="144">
        <f>bargiri[[#This Row],[میزان بارگیری شده]]*bargiri[[#This Row],[فی]]</f>
        <v>2832190000</v>
      </c>
      <c r="I220" s="321">
        <f>IF(year=bargiri[[#This Row],[سال]],1,0)</f>
        <v>1</v>
      </c>
      <c r="X220" s="1"/>
      <c r="Y220" s="1"/>
      <c r="Z220" s="1"/>
    </row>
    <row r="221" spans="1:26" ht="18.600000000000001" hidden="1" x14ac:dyDescent="0.25">
      <c r="A221" s="321" t="s">
        <v>609</v>
      </c>
      <c r="B221" s="321" t="s">
        <v>116</v>
      </c>
      <c r="C221" s="318" t="s">
        <v>571</v>
      </c>
      <c r="D221">
        <v>19990</v>
      </c>
      <c r="E221" s="143">
        <v>142000</v>
      </c>
      <c r="F221" s="117">
        <v>1404</v>
      </c>
      <c r="G221" s="321" t="s">
        <v>311</v>
      </c>
      <c r="H221" s="144">
        <f>bargiri[[#This Row],[میزان بارگیری شده]]*bargiri[[#This Row],[فی]]</f>
        <v>2838580000</v>
      </c>
      <c r="I221" s="321">
        <f>IF(year=bargiri[[#This Row],[سال]],1,0)</f>
        <v>1</v>
      </c>
      <c r="X221" s="1"/>
      <c r="Y221" s="1"/>
      <c r="Z221" s="1"/>
    </row>
    <row r="222" spans="1:26" ht="18.600000000000001" hidden="1" x14ac:dyDescent="0.25">
      <c r="A222" s="321" t="s">
        <v>608</v>
      </c>
      <c r="B222" s="321" t="s">
        <v>106</v>
      </c>
      <c r="C222" s="318" t="s">
        <v>44</v>
      </c>
      <c r="D222">
        <v>22385</v>
      </c>
      <c r="E222" s="143">
        <v>80000</v>
      </c>
      <c r="F222" s="117">
        <v>1404</v>
      </c>
      <c r="G222" s="321" t="s">
        <v>311</v>
      </c>
      <c r="H222" s="144">
        <f>bargiri[[#This Row],[میزان بارگیری شده]]*bargiri[[#This Row],[فی]]</f>
        <v>1790800000</v>
      </c>
      <c r="I222" s="321">
        <f>IF(year=bargiri[[#This Row],[سال]],1,0)</f>
        <v>1</v>
      </c>
      <c r="X222" s="1"/>
      <c r="Y222" s="1"/>
      <c r="Z222" s="1"/>
    </row>
    <row r="223" spans="1:26" ht="18.600000000000001" hidden="1" x14ac:dyDescent="0.25">
      <c r="A223" s="321" t="s">
        <v>608</v>
      </c>
      <c r="B223" s="321" t="s">
        <v>104</v>
      </c>
      <c r="C223" s="318" t="s">
        <v>569</v>
      </c>
      <c r="D223">
        <v>18020</v>
      </c>
      <c r="E223" s="143">
        <v>142000</v>
      </c>
      <c r="F223" s="117">
        <v>1404</v>
      </c>
      <c r="G223" s="321" t="s">
        <v>311</v>
      </c>
      <c r="H223" s="144">
        <f>bargiri[[#This Row],[میزان بارگیری شده]]*bargiri[[#This Row],[فی]]</f>
        <v>2558840000</v>
      </c>
      <c r="I223" s="321">
        <f>IF(year=bargiri[[#This Row],[سال]],1,0)</f>
        <v>1</v>
      </c>
      <c r="X223" s="1"/>
      <c r="Y223" s="1"/>
      <c r="Z223" s="1"/>
    </row>
    <row r="224" spans="1:26" ht="18.600000000000001" hidden="1" x14ac:dyDescent="0.25">
      <c r="A224" s="321" t="s">
        <v>609</v>
      </c>
      <c r="B224" s="321" t="s">
        <v>102</v>
      </c>
      <c r="C224" s="318" t="s">
        <v>24</v>
      </c>
      <c r="D224">
        <v>10625</v>
      </c>
      <c r="E224" s="143">
        <v>70000</v>
      </c>
      <c r="F224" s="117">
        <v>1404</v>
      </c>
      <c r="G224" s="321" t="s">
        <v>311</v>
      </c>
      <c r="H224" s="144">
        <f>bargiri[[#This Row],[میزان بارگیری شده]]*bargiri[[#This Row],[فی]]</f>
        <v>743750000</v>
      </c>
      <c r="I224" s="321">
        <f>IF(year=bargiri[[#This Row],[سال]],1,0)</f>
        <v>1</v>
      </c>
      <c r="X224" s="1"/>
      <c r="Y224" s="1"/>
      <c r="Z224" s="1"/>
    </row>
    <row r="225" spans="1:26" ht="18.600000000000001" hidden="1" x14ac:dyDescent="0.25">
      <c r="A225" s="321" t="s">
        <v>609</v>
      </c>
      <c r="B225" s="321" t="s">
        <v>101</v>
      </c>
      <c r="C225" s="318" t="s">
        <v>19</v>
      </c>
      <c r="D225">
        <v>18050</v>
      </c>
      <c r="E225" s="143">
        <v>75000</v>
      </c>
      <c r="F225" s="117">
        <v>1404</v>
      </c>
      <c r="G225" s="321" t="s">
        <v>311</v>
      </c>
      <c r="H225" s="144">
        <f>bargiri[[#This Row],[میزان بارگیری شده]]*bargiri[[#This Row],[فی]]</f>
        <v>1353750000</v>
      </c>
      <c r="I225" s="321">
        <f>IF(year=bargiri[[#This Row],[سال]],1,0)</f>
        <v>1</v>
      </c>
      <c r="X225" s="1"/>
      <c r="Y225" s="1"/>
      <c r="Z225" s="1"/>
    </row>
    <row r="226" spans="1:26" ht="18.600000000000001" hidden="1" x14ac:dyDescent="0.25">
      <c r="A226" s="321" t="s">
        <v>609</v>
      </c>
      <c r="B226" s="321" t="s">
        <v>109</v>
      </c>
      <c r="C226" s="318" t="s">
        <v>570</v>
      </c>
      <c r="D226">
        <v>7355</v>
      </c>
      <c r="E226" s="143">
        <v>142000</v>
      </c>
      <c r="F226" s="117">
        <v>1404</v>
      </c>
      <c r="G226" s="321" t="s">
        <v>311</v>
      </c>
      <c r="H226" s="144">
        <f>bargiri[[#This Row],[میزان بارگیری شده]]*bargiri[[#This Row],[فی]]</f>
        <v>1044410000</v>
      </c>
      <c r="I226" s="321">
        <f>IF(year=bargiri[[#This Row],[سال]],1,0)</f>
        <v>1</v>
      </c>
      <c r="X226" s="1"/>
      <c r="Y226" s="1"/>
      <c r="Z226" s="1"/>
    </row>
    <row r="227" spans="1:26" ht="18.600000000000001" x14ac:dyDescent="0.25">
      <c r="A227" s="321" t="s">
        <v>609</v>
      </c>
      <c r="B227" s="321" t="s">
        <v>118</v>
      </c>
      <c r="C227" s="318" t="s">
        <v>84</v>
      </c>
      <c r="D227">
        <v>20950</v>
      </c>
      <c r="E227" s="143">
        <v>57273</v>
      </c>
      <c r="F227" s="117">
        <v>1404</v>
      </c>
      <c r="G227" s="321" t="s">
        <v>311</v>
      </c>
      <c r="H227" s="144">
        <f>bargiri[[#This Row],[میزان بارگیری شده]]*bargiri[[#This Row],[فی]]</f>
        <v>1199869350</v>
      </c>
      <c r="I227" s="321">
        <f>IF(year=bargiri[[#This Row],[سال]],1,0)</f>
        <v>1</v>
      </c>
      <c r="X227" s="1"/>
      <c r="Y227" s="1"/>
      <c r="Z227" s="1"/>
    </row>
    <row r="228" spans="1:26" ht="18.600000000000001" x14ac:dyDescent="0.25">
      <c r="A228" s="321" t="s">
        <v>609</v>
      </c>
      <c r="B228" s="321" t="s">
        <v>118</v>
      </c>
      <c r="C228" s="318" t="s">
        <v>84</v>
      </c>
      <c r="D228">
        <v>20970</v>
      </c>
      <c r="E228" s="143">
        <v>57273</v>
      </c>
      <c r="F228" s="117">
        <v>1404</v>
      </c>
      <c r="G228" s="321" t="s">
        <v>311</v>
      </c>
      <c r="H228" s="144">
        <f>bargiri[[#This Row],[میزان بارگیری شده]]*bargiri[[#This Row],[فی]]</f>
        <v>1201014810</v>
      </c>
      <c r="I228" s="321">
        <f>IF(year=bargiri[[#This Row],[سال]],1,0)</f>
        <v>1</v>
      </c>
      <c r="X228" s="1"/>
      <c r="Y228" s="1"/>
      <c r="Z228" s="1"/>
    </row>
    <row r="229" spans="1:26" ht="18.600000000000001" hidden="1" x14ac:dyDescent="0.25">
      <c r="A229" s="321" t="s">
        <v>609</v>
      </c>
      <c r="B229" s="321" t="s">
        <v>123</v>
      </c>
      <c r="C229" s="318" t="s">
        <v>536</v>
      </c>
      <c r="D229">
        <v>7805</v>
      </c>
      <c r="E229" s="143">
        <v>100000</v>
      </c>
      <c r="F229" s="117">
        <v>1404</v>
      </c>
      <c r="G229" s="321" t="s">
        <v>311</v>
      </c>
      <c r="H229" s="144">
        <f>bargiri[[#This Row],[میزان بارگیری شده]]*bargiri[[#This Row],[فی]]</f>
        <v>780500000</v>
      </c>
      <c r="I229" s="321">
        <f>IF(year=bargiri[[#This Row],[سال]],1,0)</f>
        <v>1</v>
      </c>
      <c r="X229" s="1"/>
      <c r="Y229" s="1"/>
      <c r="Z229" s="1"/>
    </row>
    <row r="230" spans="1:26" ht="18.600000000000001" hidden="1" x14ac:dyDescent="0.25">
      <c r="A230" s="321" t="s">
        <v>609</v>
      </c>
      <c r="B230" s="321" t="s">
        <v>113</v>
      </c>
      <c r="C230" s="318" t="s">
        <v>61</v>
      </c>
      <c r="D230">
        <v>19955</v>
      </c>
      <c r="E230" s="143">
        <v>75000</v>
      </c>
      <c r="F230" s="117">
        <v>1404</v>
      </c>
      <c r="G230" s="321" t="s">
        <v>311</v>
      </c>
      <c r="H230" s="144">
        <f>bargiri[[#This Row],[میزان بارگیری شده]]*bargiri[[#This Row],[فی]]</f>
        <v>1496625000</v>
      </c>
      <c r="I230" s="321">
        <f>IF(year=bargiri[[#This Row],[سال]],1,0)</f>
        <v>1</v>
      </c>
      <c r="X230" s="1"/>
      <c r="Y230" s="1"/>
      <c r="Z230" s="1"/>
    </row>
    <row r="231" spans="1:26" ht="18.600000000000001" hidden="1" x14ac:dyDescent="0.25">
      <c r="A231" s="321" t="s">
        <v>609</v>
      </c>
      <c r="B231" s="321" t="s">
        <v>109</v>
      </c>
      <c r="C231" s="318" t="s">
        <v>570</v>
      </c>
      <c r="D231">
        <v>7345</v>
      </c>
      <c r="E231" s="143">
        <v>142000</v>
      </c>
      <c r="F231" s="117">
        <v>1404</v>
      </c>
      <c r="G231" s="321" t="s">
        <v>311</v>
      </c>
      <c r="H231" s="144">
        <f>bargiri[[#This Row],[میزان بارگیری شده]]*bargiri[[#This Row],[فی]]</f>
        <v>1042990000</v>
      </c>
      <c r="I231" s="321">
        <f>IF(year=bargiri[[#This Row],[سال]],1,0)</f>
        <v>1</v>
      </c>
      <c r="X231" s="1"/>
      <c r="Y231" s="1"/>
      <c r="Z231" s="1"/>
    </row>
    <row r="232" spans="1:26" ht="18.600000000000001" hidden="1" x14ac:dyDescent="0.25">
      <c r="A232" s="321" t="s">
        <v>609</v>
      </c>
      <c r="B232" s="321" t="s">
        <v>113</v>
      </c>
      <c r="C232" s="318" t="s">
        <v>61</v>
      </c>
      <c r="D232">
        <v>9060</v>
      </c>
      <c r="E232" s="143">
        <v>75000</v>
      </c>
      <c r="F232" s="117">
        <v>1404</v>
      </c>
      <c r="G232" s="321" t="s">
        <v>311</v>
      </c>
      <c r="H232" s="144">
        <f>bargiri[[#This Row],[میزان بارگیری شده]]*bargiri[[#This Row],[فی]]</f>
        <v>679500000</v>
      </c>
      <c r="I232" s="321">
        <f>IF(year=bargiri[[#This Row],[سال]],1,0)</f>
        <v>1</v>
      </c>
      <c r="X232" s="1"/>
      <c r="Y232" s="1"/>
      <c r="Z232" s="1"/>
    </row>
    <row r="233" spans="1:26" ht="18.600000000000001" x14ac:dyDescent="0.25">
      <c r="A233" s="321" t="s">
        <v>610</v>
      </c>
      <c r="B233" s="321" t="s">
        <v>118</v>
      </c>
      <c r="C233" s="318" t="s">
        <v>84</v>
      </c>
      <c r="D233">
        <v>19875</v>
      </c>
      <c r="E233" s="143">
        <v>57273</v>
      </c>
      <c r="F233" s="117">
        <v>1404</v>
      </c>
      <c r="G233" s="321" t="s">
        <v>311</v>
      </c>
      <c r="H233" s="144">
        <f>bargiri[[#This Row],[میزان بارگیری شده]]*bargiri[[#This Row],[فی]]</f>
        <v>1138300875</v>
      </c>
      <c r="I233" s="321">
        <f>IF(year=bargiri[[#This Row],[سال]],1,0)</f>
        <v>1</v>
      </c>
      <c r="X233" s="1"/>
      <c r="Y233" s="1"/>
      <c r="Z233" s="1"/>
    </row>
    <row r="234" spans="1:26" ht="18.600000000000001" hidden="1" x14ac:dyDescent="0.25">
      <c r="A234" s="321" t="s">
        <v>610</v>
      </c>
      <c r="B234" s="321" t="s">
        <v>113</v>
      </c>
      <c r="C234" s="318" t="s">
        <v>61</v>
      </c>
      <c r="D234">
        <v>18645</v>
      </c>
      <c r="E234" s="143">
        <v>75000</v>
      </c>
      <c r="F234" s="117">
        <v>1404</v>
      </c>
      <c r="G234" s="321" t="s">
        <v>311</v>
      </c>
      <c r="H234" s="144">
        <f>bargiri[[#This Row],[میزان بارگیری شده]]*bargiri[[#This Row],[فی]]</f>
        <v>1398375000</v>
      </c>
      <c r="I234" s="321">
        <f>IF(year=bargiri[[#This Row],[سال]],1,0)</f>
        <v>1</v>
      </c>
      <c r="X234" s="1"/>
      <c r="Y234" s="1"/>
      <c r="Z234" s="1"/>
    </row>
    <row r="235" spans="1:26" ht="18.600000000000001" hidden="1" x14ac:dyDescent="0.25">
      <c r="A235" s="321" t="s">
        <v>610</v>
      </c>
      <c r="B235" s="321" t="s">
        <v>109</v>
      </c>
      <c r="C235" s="318" t="s">
        <v>570</v>
      </c>
      <c r="D235">
        <v>7570</v>
      </c>
      <c r="E235" s="143">
        <v>142000</v>
      </c>
      <c r="F235" s="117">
        <v>1404</v>
      </c>
      <c r="G235" s="321" t="s">
        <v>311</v>
      </c>
      <c r="H235" s="144">
        <f>bargiri[[#This Row],[میزان بارگیری شده]]*bargiri[[#This Row],[فی]]</f>
        <v>1074940000</v>
      </c>
      <c r="I235" s="321">
        <f>IF(year=bargiri[[#This Row],[سال]],1,0)</f>
        <v>1</v>
      </c>
      <c r="X235" s="1"/>
      <c r="Y235" s="1"/>
      <c r="Z235" s="1"/>
    </row>
    <row r="236" spans="1:26" ht="18.600000000000001" x14ac:dyDescent="0.25">
      <c r="A236" s="321" t="s">
        <v>610</v>
      </c>
      <c r="B236" s="321" t="s">
        <v>118</v>
      </c>
      <c r="C236" s="318" t="s">
        <v>84</v>
      </c>
      <c r="D236">
        <v>20610</v>
      </c>
      <c r="E236" s="143">
        <v>57273</v>
      </c>
      <c r="F236" s="117">
        <v>1404</v>
      </c>
      <c r="G236" s="321" t="s">
        <v>311</v>
      </c>
      <c r="H236" s="144">
        <f>bargiri[[#This Row],[میزان بارگیری شده]]*bargiri[[#This Row],[فی]]</f>
        <v>1180396530</v>
      </c>
      <c r="I236" s="321">
        <f>IF(year=bargiri[[#This Row],[سال]],1,0)</f>
        <v>1</v>
      </c>
      <c r="X236" s="1"/>
      <c r="Y236" s="1"/>
      <c r="Z236" s="1"/>
    </row>
    <row r="237" spans="1:26" ht="18.600000000000001" hidden="1" x14ac:dyDescent="0.25">
      <c r="A237" s="321" t="s">
        <v>611</v>
      </c>
      <c r="B237" s="321" t="s">
        <v>122</v>
      </c>
      <c r="C237" s="318" t="s">
        <v>575</v>
      </c>
      <c r="D237">
        <v>22050</v>
      </c>
      <c r="E237" s="143">
        <v>142000</v>
      </c>
      <c r="F237" s="117">
        <v>1404</v>
      </c>
      <c r="G237" s="321" t="s">
        <v>311</v>
      </c>
      <c r="H237" s="144">
        <f>bargiri[[#This Row],[میزان بارگیری شده]]*bargiri[[#This Row],[فی]]</f>
        <v>3131100000</v>
      </c>
      <c r="I237" s="321">
        <f>IF(year=bargiri[[#This Row],[سال]],1,0)</f>
        <v>1</v>
      </c>
      <c r="X237" s="1"/>
      <c r="Y237" s="1"/>
      <c r="Z237" s="1"/>
    </row>
    <row r="238" spans="1:26" ht="18.600000000000001" hidden="1" x14ac:dyDescent="0.25">
      <c r="A238" s="321" t="s">
        <v>611</v>
      </c>
      <c r="B238" s="321" t="s">
        <v>98</v>
      </c>
      <c r="C238" s="318" t="s">
        <v>541</v>
      </c>
      <c r="D238">
        <v>14250</v>
      </c>
      <c r="E238" s="143">
        <v>151200</v>
      </c>
      <c r="F238" s="117">
        <v>1404</v>
      </c>
      <c r="G238" s="321" t="s">
        <v>311</v>
      </c>
      <c r="H238" s="144">
        <f>bargiri[[#This Row],[میزان بارگیری شده]]*bargiri[[#This Row],[فی]]</f>
        <v>2154600000</v>
      </c>
      <c r="I238" s="321">
        <f>IF(year=bargiri[[#This Row],[سال]],1,0)</f>
        <v>1</v>
      </c>
      <c r="X238" s="1"/>
      <c r="Y238" s="1"/>
      <c r="Z238" s="1"/>
    </row>
    <row r="239" spans="1:26" ht="18.600000000000001" hidden="1" x14ac:dyDescent="0.25">
      <c r="A239" s="321" t="s">
        <v>611</v>
      </c>
      <c r="B239" s="321" t="s">
        <v>98</v>
      </c>
      <c r="C239" s="318" t="s">
        <v>548</v>
      </c>
      <c r="D239">
        <v>5985</v>
      </c>
      <c r="E239" s="143">
        <v>80000</v>
      </c>
      <c r="F239" s="117">
        <v>1404</v>
      </c>
      <c r="G239" s="321" t="s">
        <v>311</v>
      </c>
      <c r="H239" s="144">
        <f>bargiri[[#This Row],[میزان بارگیری شده]]*bargiri[[#This Row],[فی]]</f>
        <v>478800000</v>
      </c>
      <c r="I239" s="321">
        <f>IF(year=bargiri[[#This Row],[سال]],1,0)</f>
        <v>1</v>
      </c>
      <c r="X239" s="1"/>
      <c r="Y239" s="1"/>
      <c r="Z239" s="1"/>
    </row>
    <row r="240" spans="1:26" ht="18.600000000000001" x14ac:dyDescent="0.25">
      <c r="A240" s="321" t="s">
        <v>611</v>
      </c>
      <c r="B240" s="321" t="s">
        <v>118</v>
      </c>
      <c r="C240" s="318" t="s">
        <v>84</v>
      </c>
      <c r="D240">
        <v>20575</v>
      </c>
      <c r="E240" s="143">
        <v>57273</v>
      </c>
      <c r="F240" s="117">
        <v>1404</v>
      </c>
      <c r="G240" s="321" t="s">
        <v>311</v>
      </c>
      <c r="H240" s="144">
        <f>bargiri[[#This Row],[میزان بارگیری شده]]*bargiri[[#This Row],[فی]]</f>
        <v>1178391975</v>
      </c>
      <c r="I240" s="321">
        <f>IF(year=bargiri[[#This Row],[سال]],1,0)</f>
        <v>1</v>
      </c>
      <c r="X240" s="1"/>
      <c r="Y240" s="1"/>
      <c r="Z240" s="1"/>
    </row>
    <row r="241" spans="1:26" ht="18.600000000000001" x14ac:dyDescent="0.25">
      <c r="A241" s="321" t="s">
        <v>611</v>
      </c>
      <c r="B241" s="321" t="s">
        <v>118</v>
      </c>
      <c r="C241" s="318" t="s">
        <v>84</v>
      </c>
      <c r="D241">
        <v>20555</v>
      </c>
      <c r="E241" s="143">
        <v>57273</v>
      </c>
      <c r="F241" s="117">
        <v>1404</v>
      </c>
      <c r="G241" s="321" t="s">
        <v>311</v>
      </c>
      <c r="H241" s="144">
        <f>bargiri[[#This Row],[میزان بارگیری شده]]*bargiri[[#This Row],[فی]]</f>
        <v>1177246515</v>
      </c>
      <c r="I241" s="321">
        <f>IF(year=bargiri[[#This Row],[سال]],1,0)</f>
        <v>1</v>
      </c>
      <c r="X241" s="1"/>
      <c r="Y241" s="1"/>
      <c r="Z241" s="1"/>
    </row>
    <row r="242" spans="1:26" ht="18.600000000000001" hidden="1" x14ac:dyDescent="0.25">
      <c r="A242" s="321" t="s">
        <v>611</v>
      </c>
      <c r="B242" s="321" t="s">
        <v>123</v>
      </c>
      <c r="C242" s="318" t="s">
        <v>536</v>
      </c>
      <c r="D242">
        <v>7800</v>
      </c>
      <c r="E242" s="143">
        <v>100000</v>
      </c>
      <c r="F242" s="117">
        <v>1404</v>
      </c>
      <c r="G242" s="321" t="s">
        <v>311</v>
      </c>
      <c r="H242" s="144">
        <f>bargiri[[#This Row],[میزان بارگیری شده]]*bargiri[[#This Row],[فی]]</f>
        <v>780000000</v>
      </c>
      <c r="I242" s="321">
        <f>IF(year=bargiri[[#This Row],[سال]],1,0)</f>
        <v>1</v>
      </c>
      <c r="X242" s="1"/>
      <c r="Y242" s="1"/>
      <c r="Z242" s="1"/>
    </row>
    <row r="243" spans="1:26" ht="18.600000000000001" x14ac:dyDescent="0.25">
      <c r="A243" s="321" t="s">
        <v>611</v>
      </c>
      <c r="B243" s="321" t="s">
        <v>118</v>
      </c>
      <c r="C243" s="318" t="s">
        <v>84</v>
      </c>
      <c r="D243">
        <v>20635</v>
      </c>
      <c r="E243" s="143">
        <v>57273</v>
      </c>
      <c r="F243" s="117">
        <v>1404</v>
      </c>
      <c r="G243" s="321" t="s">
        <v>311</v>
      </c>
      <c r="H243" s="144">
        <f>bargiri[[#This Row],[میزان بارگیری شده]]*bargiri[[#This Row],[فی]]</f>
        <v>1181828355</v>
      </c>
      <c r="I243" s="321">
        <f>IF(year=bargiri[[#This Row],[سال]],1,0)</f>
        <v>1</v>
      </c>
      <c r="X243" s="1"/>
      <c r="Y243" s="1"/>
      <c r="Z243" s="1"/>
    </row>
    <row r="244" spans="1:26" ht="18.600000000000001" hidden="1" x14ac:dyDescent="0.25">
      <c r="A244" s="321" t="s">
        <v>602</v>
      </c>
      <c r="B244" s="321" t="s">
        <v>103</v>
      </c>
      <c r="C244" s="318" t="s">
        <v>566</v>
      </c>
      <c r="D244">
        <v>7490</v>
      </c>
      <c r="E244" s="143">
        <v>142000</v>
      </c>
      <c r="F244" s="117">
        <v>1404</v>
      </c>
      <c r="G244" s="321" t="s">
        <v>311</v>
      </c>
      <c r="H244" s="144">
        <f>bargiri[[#This Row],[میزان بارگیری شده]]*bargiri[[#This Row],[فی]]</f>
        <v>1063580000</v>
      </c>
      <c r="I244" s="321">
        <f>IF(year=bargiri[[#This Row],[سال]],1,0)</f>
        <v>1</v>
      </c>
      <c r="X244" s="1"/>
      <c r="Y244" s="1"/>
      <c r="Z244" s="1"/>
    </row>
    <row r="245" spans="1:26" ht="18.600000000000001" hidden="1" x14ac:dyDescent="0.25">
      <c r="A245" s="321" t="s">
        <v>602</v>
      </c>
      <c r="B245" s="321" t="s">
        <v>121</v>
      </c>
      <c r="C245" s="318" t="s">
        <v>574</v>
      </c>
      <c r="D245">
        <v>20015</v>
      </c>
      <c r="E245" s="143">
        <v>142000</v>
      </c>
      <c r="F245" s="117">
        <v>1404</v>
      </c>
      <c r="G245" s="321" t="s">
        <v>311</v>
      </c>
      <c r="H245" s="144">
        <f>bargiri[[#This Row],[میزان بارگیری شده]]*bargiri[[#This Row],[فی]]</f>
        <v>2842130000</v>
      </c>
      <c r="I245" s="321">
        <f>IF(year=bargiri[[#This Row],[سال]],1,0)</f>
        <v>1</v>
      </c>
      <c r="X245" s="1"/>
      <c r="Y245" s="1"/>
      <c r="Z245" s="1"/>
    </row>
    <row r="246" spans="1:26" ht="18.600000000000001" hidden="1" x14ac:dyDescent="0.25">
      <c r="A246" s="321" t="s">
        <v>602</v>
      </c>
      <c r="B246" s="321" t="s">
        <v>104</v>
      </c>
      <c r="C246" s="318" t="s">
        <v>569</v>
      </c>
      <c r="D246">
        <v>18505</v>
      </c>
      <c r="E246" s="143">
        <v>142000</v>
      </c>
      <c r="F246" s="117">
        <v>1404</v>
      </c>
      <c r="G246" s="321" t="s">
        <v>311</v>
      </c>
      <c r="H246" s="144">
        <f>bargiri[[#This Row],[میزان بارگیری شده]]*bargiri[[#This Row],[فی]]</f>
        <v>2627710000</v>
      </c>
      <c r="I246" s="321">
        <f>IF(year=bargiri[[#This Row],[سال]],1,0)</f>
        <v>1</v>
      </c>
      <c r="X246" s="1"/>
      <c r="Y246" s="1"/>
      <c r="Z246" s="1"/>
    </row>
    <row r="247" spans="1:26" ht="18.600000000000001" hidden="1" x14ac:dyDescent="0.25">
      <c r="A247" s="321" t="s">
        <v>602</v>
      </c>
      <c r="B247" s="321" t="s">
        <v>114</v>
      </c>
      <c r="C247" s="318" t="s">
        <v>62</v>
      </c>
      <c r="D247">
        <v>22495</v>
      </c>
      <c r="E247" s="143">
        <v>75000</v>
      </c>
      <c r="F247" s="117">
        <v>1404</v>
      </c>
      <c r="G247" s="321" t="s">
        <v>311</v>
      </c>
      <c r="H247" s="144">
        <f>bargiri[[#This Row],[میزان بارگیری شده]]*bargiri[[#This Row],[فی]]</f>
        <v>1687125000</v>
      </c>
      <c r="I247" s="321">
        <f>IF(year=bargiri[[#This Row],[سال]],1,0)</f>
        <v>1</v>
      </c>
      <c r="X247" s="1"/>
      <c r="Y247" s="1"/>
      <c r="Z247" s="1"/>
    </row>
    <row r="248" spans="1:26" ht="18.600000000000001" hidden="1" x14ac:dyDescent="0.25">
      <c r="A248" s="321" t="s">
        <v>602</v>
      </c>
      <c r="B248" s="321" t="s">
        <v>113</v>
      </c>
      <c r="C248" s="318" t="s">
        <v>61</v>
      </c>
      <c r="D248">
        <v>19125</v>
      </c>
      <c r="E248" s="143">
        <v>75000</v>
      </c>
      <c r="F248" s="117">
        <v>1404</v>
      </c>
      <c r="G248" s="321" t="s">
        <v>311</v>
      </c>
      <c r="H248" s="144">
        <f>bargiri[[#This Row],[میزان بارگیری شده]]*bargiri[[#This Row],[فی]]</f>
        <v>1434375000</v>
      </c>
      <c r="I248" s="321">
        <f>IF(year=bargiri[[#This Row],[سال]],1,0)</f>
        <v>1</v>
      </c>
      <c r="X248" s="1"/>
      <c r="Y248" s="1"/>
      <c r="Z248" s="1"/>
    </row>
    <row r="249" spans="1:26" ht="18.600000000000001" hidden="1" x14ac:dyDescent="0.25">
      <c r="A249" s="321" t="s">
        <v>602</v>
      </c>
      <c r="B249" s="321" t="s">
        <v>109</v>
      </c>
      <c r="C249" s="318" t="s">
        <v>570</v>
      </c>
      <c r="D249">
        <v>7490</v>
      </c>
      <c r="E249" s="143">
        <v>142000</v>
      </c>
      <c r="F249" s="117">
        <v>1404</v>
      </c>
      <c r="G249" s="321" t="s">
        <v>311</v>
      </c>
      <c r="H249" s="144">
        <f>bargiri[[#This Row],[میزان بارگیری شده]]*bargiri[[#This Row],[فی]]</f>
        <v>1063580000</v>
      </c>
      <c r="I249" s="321">
        <f>IF(year=bargiri[[#This Row],[سال]],1,0)</f>
        <v>1</v>
      </c>
      <c r="X249" s="1"/>
      <c r="Y249" s="1"/>
      <c r="Z249" s="1"/>
    </row>
    <row r="250" spans="1:26" ht="18.600000000000001" hidden="1" x14ac:dyDescent="0.25">
      <c r="A250" s="321" t="s">
        <v>600</v>
      </c>
      <c r="B250" s="321" t="s">
        <v>116</v>
      </c>
      <c r="C250" s="318" t="s">
        <v>571</v>
      </c>
      <c r="D250">
        <v>19990</v>
      </c>
      <c r="E250" s="143">
        <v>142000</v>
      </c>
      <c r="F250" s="117">
        <v>1404</v>
      </c>
      <c r="G250" s="321" t="s">
        <v>311</v>
      </c>
      <c r="H250" s="144">
        <f>bargiri[[#This Row],[میزان بارگیری شده]]*bargiri[[#This Row],[فی]]</f>
        <v>2838580000</v>
      </c>
      <c r="I250" s="321">
        <f>IF(year=bargiri[[#This Row],[سال]],1,0)</f>
        <v>1</v>
      </c>
      <c r="X250" s="1"/>
      <c r="Y250" s="1"/>
      <c r="Z250" s="1"/>
    </row>
    <row r="251" spans="1:26" ht="18.600000000000001" hidden="1" x14ac:dyDescent="0.25">
      <c r="A251" s="321" t="s">
        <v>600</v>
      </c>
      <c r="B251" s="321" t="s">
        <v>116</v>
      </c>
      <c r="C251" s="318" t="s">
        <v>571</v>
      </c>
      <c r="D251">
        <v>16065</v>
      </c>
      <c r="E251" s="143">
        <v>142000</v>
      </c>
      <c r="F251" s="117">
        <v>1404</v>
      </c>
      <c r="G251" s="321" t="s">
        <v>311</v>
      </c>
      <c r="H251" s="144">
        <f>bargiri[[#This Row],[میزان بارگیری شده]]*bargiri[[#This Row],[فی]]</f>
        <v>2281230000</v>
      </c>
      <c r="I251" s="321">
        <f>IF(year=bargiri[[#This Row],[سال]],1,0)</f>
        <v>1</v>
      </c>
      <c r="X251" s="1"/>
      <c r="Y251" s="1"/>
      <c r="Z251" s="1"/>
    </row>
    <row r="252" spans="1:26" ht="18.600000000000001" hidden="1" x14ac:dyDescent="0.25">
      <c r="A252" s="321" t="s">
        <v>600</v>
      </c>
      <c r="B252" s="321" t="s">
        <v>125</v>
      </c>
      <c r="C252" s="318" t="s">
        <v>577</v>
      </c>
      <c r="D252">
        <v>14320</v>
      </c>
      <c r="E252" s="143">
        <v>142000</v>
      </c>
      <c r="F252" s="117">
        <v>1404</v>
      </c>
      <c r="G252" s="321" t="s">
        <v>311</v>
      </c>
      <c r="H252" s="144">
        <f>bargiri[[#This Row],[میزان بارگیری شده]]*bargiri[[#This Row],[فی]]</f>
        <v>2033440000</v>
      </c>
      <c r="I252" s="321">
        <f>IF(year=bargiri[[#This Row],[سال]],1,0)</f>
        <v>1</v>
      </c>
      <c r="X252" s="1"/>
      <c r="Y252" s="1"/>
      <c r="Z252" s="1"/>
    </row>
    <row r="253" spans="1:26" ht="18.600000000000001" hidden="1" x14ac:dyDescent="0.25">
      <c r="A253" s="321" t="s">
        <v>600</v>
      </c>
      <c r="B253" s="321" t="s">
        <v>104</v>
      </c>
      <c r="C253" s="318" t="s">
        <v>38</v>
      </c>
      <c r="D253">
        <v>8660</v>
      </c>
      <c r="E253" s="143">
        <v>83800</v>
      </c>
      <c r="F253" s="117">
        <v>1404</v>
      </c>
      <c r="G253" s="321" t="s">
        <v>311</v>
      </c>
      <c r="H253" s="144">
        <f>bargiri[[#This Row],[میزان بارگیری شده]]*bargiri[[#This Row],[فی]]</f>
        <v>725708000</v>
      </c>
      <c r="I253" s="321">
        <f>IF(year=bargiri[[#This Row],[سال]],1,0)</f>
        <v>1</v>
      </c>
      <c r="X253" s="1"/>
      <c r="Y253" s="1"/>
      <c r="Z253" s="1"/>
    </row>
    <row r="254" spans="1:26" ht="18.600000000000001" hidden="1" x14ac:dyDescent="0.25">
      <c r="A254" s="321" t="s">
        <v>600</v>
      </c>
      <c r="B254" s="321" t="s">
        <v>104</v>
      </c>
      <c r="C254" s="318" t="s">
        <v>569</v>
      </c>
      <c r="D254">
        <v>9315</v>
      </c>
      <c r="E254" s="143">
        <v>142000</v>
      </c>
      <c r="F254" s="117">
        <v>1404</v>
      </c>
      <c r="G254" s="321" t="s">
        <v>311</v>
      </c>
      <c r="H254" s="144">
        <f>bargiri[[#This Row],[میزان بارگیری شده]]*bargiri[[#This Row],[فی]]</f>
        <v>1322730000</v>
      </c>
      <c r="I254" s="321">
        <f>IF(year=bargiri[[#This Row],[سال]],1,0)</f>
        <v>1</v>
      </c>
      <c r="X254" s="1"/>
      <c r="Y254" s="1"/>
      <c r="Z254" s="1"/>
    </row>
    <row r="255" spans="1:26" ht="18.600000000000001" hidden="1" x14ac:dyDescent="0.25">
      <c r="A255" s="321" t="s">
        <v>599</v>
      </c>
      <c r="B255" s="321" t="s">
        <v>102</v>
      </c>
      <c r="C255" s="318" t="s">
        <v>24</v>
      </c>
      <c r="D255">
        <v>11635</v>
      </c>
      <c r="E255" s="143">
        <v>70000</v>
      </c>
      <c r="F255" s="117">
        <v>1404</v>
      </c>
      <c r="G255" s="321" t="s">
        <v>311</v>
      </c>
      <c r="H255" s="144">
        <f>bargiri[[#This Row],[میزان بارگیری شده]]*bargiri[[#This Row],[فی]]</f>
        <v>814450000</v>
      </c>
      <c r="I255" s="321">
        <f>IF(year=bargiri[[#This Row],[سال]],1,0)</f>
        <v>1</v>
      </c>
      <c r="X255" s="1"/>
      <c r="Y255" s="1"/>
      <c r="Z255" s="1"/>
    </row>
    <row r="256" spans="1:26" ht="18.600000000000001" hidden="1" x14ac:dyDescent="0.25">
      <c r="A256" s="321" t="s">
        <v>599</v>
      </c>
      <c r="B256" s="321" t="s">
        <v>117</v>
      </c>
      <c r="C256" s="318" t="s">
        <v>79</v>
      </c>
      <c r="D256">
        <v>16750</v>
      </c>
      <c r="E256" s="143">
        <v>75000</v>
      </c>
      <c r="F256" s="117">
        <v>1404</v>
      </c>
      <c r="G256" s="321" t="s">
        <v>311</v>
      </c>
      <c r="H256" s="144">
        <f>bargiri[[#This Row],[میزان بارگیری شده]]*bargiri[[#This Row],[فی]]</f>
        <v>1256250000</v>
      </c>
      <c r="I256" s="321">
        <f>IF(year=bargiri[[#This Row],[سال]],1,0)</f>
        <v>1</v>
      </c>
      <c r="X256" s="1"/>
      <c r="Y256" s="1"/>
      <c r="Z256" s="1"/>
    </row>
    <row r="257" spans="1:26" ht="18.600000000000001" hidden="1" x14ac:dyDescent="0.25">
      <c r="A257" s="321" t="s">
        <v>599</v>
      </c>
      <c r="B257" s="321" t="s">
        <v>117</v>
      </c>
      <c r="C257" s="318" t="s">
        <v>573</v>
      </c>
      <c r="D257">
        <v>3250</v>
      </c>
      <c r="E257" s="143">
        <v>142000</v>
      </c>
      <c r="F257" s="117">
        <v>1404</v>
      </c>
      <c r="G257" s="321" t="s">
        <v>311</v>
      </c>
      <c r="H257" s="144">
        <f>bargiri[[#This Row],[میزان بارگیری شده]]*bargiri[[#This Row],[فی]]</f>
        <v>461500000</v>
      </c>
      <c r="I257" s="321">
        <f>IF(year=bargiri[[#This Row],[سال]],1,0)</f>
        <v>1</v>
      </c>
      <c r="X257" s="1"/>
      <c r="Y257" s="1"/>
      <c r="Z257" s="1"/>
    </row>
    <row r="258" spans="1:26" ht="18.600000000000001" hidden="1" x14ac:dyDescent="0.25">
      <c r="A258" s="321" t="s">
        <v>599</v>
      </c>
      <c r="B258" s="321" t="s">
        <v>103</v>
      </c>
      <c r="C258" s="318" t="s">
        <v>566</v>
      </c>
      <c r="D258">
        <v>7370</v>
      </c>
      <c r="E258" s="143">
        <v>142000</v>
      </c>
      <c r="F258" s="117">
        <v>1404</v>
      </c>
      <c r="G258" s="321" t="s">
        <v>311</v>
      </c>
      <c r="H258" s="144">
        <f>bargiri[[#This Row],[میزان بارگیری شده]]*bargiri[[#This Row],[فی]]</f>
        <v>1046540000</v>
      </c>
      <c r="I258" s="321">
        <f>IF(year=bargiri[[#This Row],[سال]],1,0)</f>
        <v>1</v>
      </c>
      <c r="X258" s="1"/>
      <c r="Y258" s="1"/>
      <c r="Z258" s="1"/>
    </row>
    <row r="259" spans="1:26" ht="18.600000000000001" hidden="1" x14ac:dyDescent="0.25">
      <c r="A259" s="321" t="s">
        <v>599</v>
      </c>
      <c r="B259" s="321" t="s">
        <v>116</v>
      </c>
      <c r="C259" s="318" t="s">
        <v>571</v>
      </c>
      <c r="D259">
        <v>20000</v>
      </c>
      <c r="E259" s="143">
        <v>142000</v>
      </c>
      <c r="F259" s="117">
        <v>1404</v>
      </c>
      <c r="G259" s="321" t="s">
        <v>311</v>
      </c>
      <c r="H259" s="144">
        <f>bargiri[[#This Row],[میزان بارگیری شده]]*bargiri[[#This Row],[فی]]</f>
        <v>2840000000</v>
      </c>
      <c r="I259" s="321">
        <f>IF(year=bargiri[[#This Row],[سال]],1,0)</f>
        <v>1</v>
      </c>
      <c r="X259" s="1"/>
      <c r="Y259" s="1"/>
      <c r="Z259" s="1"/>
    </row>
    <row r="260" spans="1:26" ht="18.600000000000001" hidden="1" x14ac:dyDescent="0.25">
      <c r="A260" s="321" t="s">
        <v>599</v>
      </c>
      <c r="B260" s="321" t="s">
        <v>109</v>
      </c>
      <c r="C260" s="318" t="s">
        <v>570</v>
      </c>
      <c r="D260">
        <v>7420</v>
      </c>
      <c r="E260" s="143">
        <v>142000</v>
      </c>
      <c r="F260" s="117">
        <v>1404</v>
      </c>
      <c r="G260" s="321" t="s">
        <v>311</v>
      </c>
      <c r="H260" s="144">
        <f>bargiri[[#This Row],[میزان بارگیری شده]]*bargiri[[#This Row],[فی]]</f>
        <v>1053640000</v>
      </c>
      <c r="I260" s="321">
        <f>IF(year=bargiri[[#This Row],[سال]],1,0)</f>
        <v>1</v>
      </c>
      <c r="X260" s="1"/>
      <c r="Y260" s="1"/>
      <c r="Z260" s="1"/>
    </row>
    <row r="261" spans="1:26" ht="18.600000000000001" hidden="1" x14ac:dyDescent="0.25">
      <c r="A261" s="321" t="s">
        <v>598</v>
      </c>
      <c r="B261" s="321" t="s">
        <v>106</v>
      </c>
      <c r="C261" s="318" t="s">
        <v>44</v>
      </c>
      <c r="D261">
        <v>22075</v>
      </c>
      <c r="E261" s="143">
        <v>80000</v>
      </c>
      <c r="F261" s="117">
        <v>1404</v>
      </c>
      <c r="G261" s="321" t="s">
        <v>311</v>
      </c>
      <c r="H261" s="144">
        <f>bargiri[[#This Row],[میزان بارگیری شده]]*bargiri[[#This Row],[فی]]</f>
        <v>1766000000</v>
      </c>
      <c r="I261" s="321">
        <f>IF(year=bargiri[[#This Row],[سال]],1,0)</f>
        <v>1</v>
      </c>
      <c r="X261" s="1"/>
      <c r="Y261" s="1"/>
      <c r="Z261" s="1"/>
    </row>
    <row r="262" spans="1:26" ht="18.600000000000001" hidden="1" x14ac:dyDescent="0.25">
      <c r="A262" s="321" t="s">
        <v>598</v>
      </c>
      <c r="B262" s="321" t="s">
        <v>103</v>
      </c>
      <c r="C262" s="318" t="s">
        <v>566</v>
      </c>
      <c r="D262">
        <v>7250</v>
      </c>
      <c r="E262" s="143">
        <v>142000</v>
      </c>
      <c r="F262" s="117">
        <v>1404</v>
      </c>
      <c r="G262" s="321" t="s">
        <v>311</v>
      </c>
      <c r="H262" s="144">
        <f>bargiri[[#This Row],[میزان بارگیری شده]]*bargiri[[#This Row],[فی]]</f>
        <v>1029500000</v>
      </c>
      <c r="I262" s="321">
        <f>IF(year=bargiri[[#This Row],[سال]],1,0)</f>
        <v>1</v>
      </c>
      <c r="X262" s="1"/>
      <c r="Y262" s="1"/>
      <c r="Z262" s="1"/>
    </row>
    <row r="263" spans="1:26" ht="18.600000000000001" hidden="1" x14ac:dyDescent="0.25">
      <c r="A263" s="321" t="s">
        <v>595</v>
      </c>
      <c r="B263" s="321" t="s">
        <v>103</v>
      </c>
      <c r="C263" s="318" t="s">
        <v>566</v>
      </c>
      <c r="D263">
        <v>7490</v>
      </c>
      <c r="E263" s="143">
        <v>142000</v>
      </c>
      <c r="F263" s="117">
        <v>1404</v>
      </c>
      <c r="G263" s="321" t="s">
        <v>311</v>
      </c>
      <c r="H263" s="144">
        <f>bargiri[[#This Row],[میزان بارگیری شده]]*bargiri[[#This Row],[فی]]</f>
        <v>1063580000</v>
      </c>
      <c r="I263" s="321">
        <f>IF(year=bargiri[[#This Row],[سال]],1,0)</f>
        <v>1</v>
      </c>
      <c r="X263" s="1"/>
      <c r="Y263" s="1"/>
      <c r="Z263" s="1"/>
    </row>
    <row r="264" spans="1:26" ht="18.600000000000001" hidden="1" x14ac:dyDescent="0.25">
      <c r="A264" s="321" t="s">
        <v>595</v>
      </c>
      <c r="B264" s="321" t="s">
        <v>101</v>
      </c>
      <c r="C264" s="318" t="s">
        <v>19</v>
      </c>
      <c r="D264">
        <v>21190</v>
      </c>
      <c r="E264" s="143">
        <v>75000</v>
      </c>
      <c r="F264" s="117">
        <v>1404</v>
      </c>
      <c r="G264" s="321" t="s">
        <v>311</v>
      </c>
      <c r="H264" s="144">
        <f>bargiri[[#This Row],[میزان بارگیری شده]]*bargiri[[#This Row],[فی]]</f>
        <v>1589250000</v>
      </c>
      <c r="I264" s="321">
        <f>IF(year=bargiri[[#This Row],[سال]],1,0)</f>
        <v>1</v>
      </c>
      <c r="X264" s="1"/>
      <c r="Y264" s="1"/>
      <c r="Z264" s="1"/>
    </row>
    <row r="265" spans="1:26" ht="18.600000000000001" hidden="1" x14ac:dyDescent="0.25">
      <c r="A265" s="321" t="s">
        <v>595</v>
      </c>
      <c r="B265" s="321" t="s">
        <v>103</v>
      </c>
      <c r="C265" s="318" t="s">
        <v>566</v>
      </c>
      <c r="D265">
        <v>7500</v>
      </c>
      <c r="E265" s="143">
        <v>142000</v>
      </c>
      <c r="F265" s="117">
        <v>1404</v>
      </c>
      <c r="G265" s="321" t="s">
        <v>311</v>
      </c>
      <c r="H265" s="144">
        <f>bargiri[[#This Row],[میزان بارگیری شده]]*bargiri[[#This Row],[فی]]</f>
        <v>1065000000</v>
      </c>
      <c r="I265" s="321">
        <f>IF(year=bargiri[[#This Row],[سال]],1,0)</f>
        <v>1</v>
      </c>
      <c r="X265" s="1"/>
      <c r="Y265" s="1"/>
      <c r="Z265" s="1"/>
    </row>
    <row r="266" spans="1:26" ht="18.600000000000001" hidden="1" x14ac:dyDescent="0.25">
      <c r="A266" s="321" t="s">
        <v>596</v>
      </c>
      <c r="B266" s="321" t="s">
        <v>120</v>
      </c>
      <c r="C266" s="318" t="s">
        <v>88</v>
      </c>
      <c r="D266">
        <v>9030</v>
      </c>
      <c r="E266" s="143">
        <v>80000</v>
      </c>
      <c r="F266" s="117">
        <v>1404</v>
      </c>
      <c r="G266" s="321" t="s">
        <v>311</v>
      </c>
      <c r="H266" s="144">
        <f>bargiri[[#This Row],[میزان بارگیری شده]]*bargiri[[#This Row],[فی]]</f>
        <v>722400000</v>
      </c>
      <c r="I266" s="321">
        <f>IF(year=bargiri[[#This Row],[سال]],1,0)</f>
        <v>1</v>
      </c>
      <c r="X266" s="1"/>
      <c r="Y266" s="1"/>
      <c r="Z266" s="1"/>
    </row>
    <row r="267" spans="1:26" ht="18.600000000000001" hidden="1" x14ac:dyDescent="0.25">
      <c r="A267" s="321" t="s">
        <v>597</v>
      </c>
      <c r="B267" s="321" t="s">
        <v>109</v>
      </c>
      <c r="C267" s="318" t="s">
        <v>570</v>
      </c>
      <c r="D267">
        <v>7440</v>
      </c>
      <c r="E267" s="143">
        <v>142000</v>
      </c>
      <c r="F267" s="117">
        <v>1404</v>
      </c>
      <c r="G267" s="321" t="s">
        <v>311</v>
      </c>
      <c r="H267" s="144">
        <f>bargiri[[#This Row],[میزان بارگیری شده]]*bargiri[[#This Row],[فی]]</f>
        <v>1056480000</v>
      </c>
      <c r="I267" s="321">
        <f>IF(year=bargiri[[#This Row],[سال]],1,0)</f>
        <v>1</v>
      </c>
      <c r="X267" s="1"/>
      <c r="Y267" s="1"/>
      <c r="Z267" s="1"/>
    </row>
    <row r="268" spans="1:26" ht="18.600000000000001" x14ac:dyDescent="0.25">
      <c r="A268" s="321" t="s">
        <v>597</v>
      </c>
      <c r="B268" s="321" t="s">
        <v>118</v>
      </c>
      <c r="C268" s="318" t="s">
        <v>84</v>
      </c>
      <c r="D268">
        <v>20440</v>
      </c>
      <c r="E268" s="143">
        <v>57273</v>
      </c>
      <c r="F268" s="117">
        <v>1404</v>
      </c>
      <c r="G268" s="321" t="s">
        <v>311</v>
      </c>
      <c r="H268" s="144">
        <f>bargiri[[#This Row],[میزان بارگیری شده]]*bargiri[[#This Row],[فی]]</f>
        <v>1170660120</v>
      </c>
      <c r="I268" s="321">
        <f>IF(year=bargiri[[#This Row],[سال]],1,0)</f>
        <v>1</v>
      </c>
      <c r="X268" s="1"/>
      <c r="Y268" s="1"/>
      <c r="Z268" s="1"/>
    </row>
    <row r="269" spans="1:26" ht="18.600000000000001" hidden="1" x14ac:dyDescent="0.25">
      <c r="A269" s="321" t="s">
        <v>597</v>
      </c>
      <c r="B269" s="321" t="s">
        <v>109</v>
      </c>
      <c r="C269" s="318" t="s">
        <v>570</v>
      </c>
      <c r="D269">
        <v>7525</v>
      </c>
      <c r="E269" s="143">
        <v>142000</v>
      </c>
      <c r="F269" s="117">
        <v>1404</v>
      </c>
      <c r="G269" s="321" t="s">
        <v>311</v>
      </c>
      <c r="H269" s="144">
        <f>bargiri[[#This Row],[میزان بارگیری شده]]*bargiri[[#This Row],[فی]]</f>
        <v>1068550000</v>
      </c>
      <c r="I269" s="321">
        <f>IF(year=bargiri[[#This Row],[سال]],1,0)</f>
        <v>1</v>
      </c>
      <c r="X269" s="1"/>
      <c r="Y269" s="1"/>
      <c r="Z269" s="1"/>
    </row>
    <row r="270" spans="1:26" ht="18.600000000000001" x14ac:dyDescent="0.25">
      <c r="A270" s="321" t="s">
        <v>597</v>
      </c>
      <c r="B270" s="321" t="s">
        <v>118</v>
      </c>
      <c r="C270" s="318" t="s">
        <v>84</v>
      </c>
      <c r="D270">
        <v>20445</v>
      </c>
      <c r="E270" s="143">
        <v>57273</v>
      </c>
      <c r="F270" s="117">
        <v>1404</v>
      </c>
      <c r="G270" s="321" t="s">
        <v>311</v>
      </c>
      <c r="H270" s="144">
        <f>bargiri[[#This Row],[میزان بارگیری شده]]*bargiri[[#This Row],[فی]]</f>
        <v>1170946485</v>
      </c>
      <c r="I270" s="321">
        <f>IF(year=bargiri[[#This Row],[سال]],1,0)</f>
        <v>1</v>
      </c>
      <c r="X270" s="1"/>
      <c r="Y270" s="1"/>
      <c r="Z270" s="1"/>
    </row>
    <row r="271" spans="1:26" ht="18.600000000000001" x14ac:dyDescent="0.25">
      <c r="A271" s="321" t="s">
        <v>597</v>
      </c>
      <c r="B271" s="321" t="s">
        <v>118</v>
      </c>
      <c r="C271" s="318" t="s">
        <v>84</v>
      </c>
      <c r="D271">
        <v>20530</v>
      </c>
      <c r="E271" s="143">
        <v>57273</v>
      </c>
      <c r="F271" s="117">
        <v>1404</v>
      </c>
      <c r="G271" s="321" t="s">
        <v>311</v>
      </c>
      <c r="H271" s="144">
        <f>bargiri[[#This Row],[میزان بارگیری شده]]*bargiri[[#This Row],[فی]]</f>
        <v>1175814690</v>
      </c>
      <c r="I271" s="321">
        <f>IF(year=bargiri[[#This Row],[سال]],1,0)</f>
        <v>1</v>
      </c>
      <c r="X271" s="1"/>
      <c r="Y271" s="1"/>
      <c r="Z271" s="1"/>
    </row>
    <row r="272" spans="1:26" ht="18.600000000000001" x14ac:dyDescent="0.25">
      <c r="A272" s="321" t="s">
        <v>597</v>
      </c>
      <c r="B272" s="321" t="s">
        <v>118</v>
      </c>
      <c r="C272" s="318" t="s">
        <v>84</v>
      </c>
      <c r="D272">
        <v>20525</v>
      </c>
      <c r="E272" s="143">
        <v>57273</v>
      </c>
      <c r="F272" s="117">
        <v>1404</v>
      </c>
      <c r="G272" s="321" t="s">
        <v>311</v>
      </c>
      <c r="H272" s="144">
        <f>bargiri[[#This Row],[میزان بارگیری شده]]*bargiri[[#This Row],[فی]]</f>
        <v>1175528325</v>
      </c>
      <c r="I272" s="321">
        <f>IF(year=bargiri[[#This Row],[سال]],1,0)</f>
        <v>1</v>
      </c>
      <c r="X272" s="1"/>
      <c r="Y272" s="1"/>
      <c r="Z272" s="1"/>
    </row>
    <row r="273" spans="1:26" ht="18.600000000000001" x14ac:dyDescent="0.25">
      <c r="A273" s="321" t="s">
        <v>597</v>
      </c>
      <c r="B273" s="321" t="s">
        <v>118</v>
      </c>
      <c r="C273" s="318" t="s">
        <v>84</v>
      </c>
      <c r="D273">
        <v>20530</v>
      </c>
      <c r="E273" s="143">
        <v>57273</v>
      </c>
      <c r="F273" s="117">
        <v>1404</v>
      </c>
      <c r="G273" s="321" t="s">
        <v>311</v>
      </c>
      <c r="H273" s="144">
        <f>bargiri[[#This Row],[میزان بارگیری شده]]*bargiri[[#This Row],[فی]]</f>
        <v>1175814690</v>
      </c>
      <c r="I273" s="321">
        <f>IF(year=bargiri[[#This Row],[سال]],1,0)</f>
        <v>1</v>
      </c>
      <c r="X273" s="1"/>
      <c r="Y273" s="1"/>
      <c r="Z273" s="1"/>
    </row>
    <row r="274" spans="1:26" ht="18.600000000000001" hidden="1" x14ac:dyDescent="0.25">
      <c r="A274" s="321" t="s">
        <v>580</v>
      </c>
      <c r="B274" s="321" t="s">
        <v>104</v>
      </c>
      <c r="C274" s="318" t="s">
        <v>38</v>
      </c>
      <c r="D274">
        <v>18025</v>
      </c>
      <c r="E274" s="143">
        <v>83800</v>
      </c>
      <c r="F274" s="117">
        <v>1404</v>
      </c>
      <c r="G274" s="321" t="s">
        <v>311</v>
      </c>
      <c r="H274" s="144">
        <f>bargiri[[#This Row],[میزان بارگیری شده]]*bargiri[[#This Row],[فی]]</f>
        <v>1510495000</v>
      </c>
      <c r="I274" s="321">
        <f>IF(year=bargiri[[#This Row],[سال]],1,0)</f>
        <v>1</v>
      </c>
      <c r="X274" s="1"/>
      <c r="Y274" s="1"/>
      <c r="Z274" s="1"/>
    </row>
    <row r="275" spans="1:26" ht="18.600000000000001" x14ac:dyDescent="0.25">
      <c r="A275" s="321" t="s">
        <v>580</v>
      </c>
      <c r="B275" s="321" t="s">
        <v>118</v>
      </c>
      <c r="C275" s="318" t="s">
        <v>84</v>
      </c>
      <c r="D275">
        <v>20540</v>
      </c>
      <c r="E275" s="143">
        <v>57273</v>
      </c>
      <c r="F275" s="117">
        <v>1404</v>
      </c>
      <c r="G275" s="321" t="s">
        <v>311</v>
      </c>
      <c r="H275" s="144">
        <f>bargiri[[#This Row],[میزان بارگیری شده]]*bargiri[[#This Row],[فی]]</f>
        <v>1176387420</v>
      </c>
      <c r="I275" s="321">
        <f>IF(year=bargiri[[#This Row],[سال]],1,0)</f>
        <v>1</v>
      </c>
      <c r="X275" s="1"/>
      <c r="Y275" s="1"/>
      <c r="Z275" s="1"/>
    </row>
    <row r="276" spans="1:26" ht="18.600000000000001" hidden="1" x14ac:dyDescent="0.25">
      <c r="A276" s="321" t="s">
        <v>580</v>
      </c>
      <c r="B276" s="321" t="s">
        <v>113</v>
      </c>
      <c r="C276" s="318" t="s">
        <v>61</v>
      </c>
      <c r="D276">
        <v>18645</v>
      </c>
      <c r="E276" s="143">
        <v>75000</v>
      </c>
      <c r="F276" s="117">
        <v>1404</v>
      </c>
      <c r="G276" s="321" t="s">
        <v>311</v>
      </c>
      <c r="H276" s="144">
        <f>bargiri[[#This Row],[میزان بارگیری شده]]*bargiri[[#This Row],[فی]]</f>
        <v>1398375000</v>
      </c>
      <c r="I276" s="321">
        <f>IF(year=bargiri[[#This Row],[سال]],1,0)</f>
        <v>1</v>
      </c>
      <c r="X276" s="1"/>
      <c r="Y276" s="1"/>
      <c r="Z276" s="1"/>
    </row>
    <row r="277" spans="1:26" ht="18.600000000000001" x14ac:dyDescent="0.25">
      <c r="A277" s="321" t="s">
        <v>580</v>
      </c>
      <c r="B277" s="321" t="s">
        <v>118</v>
      </c>
      <c r="C277" s="318" t="s">
        <v>84</v>
      </c>
      <c r="D277">
        <v>20460</v>
      </c>
      <c r="E277" s="143">
        <v>57273</v>
      </c>
      <c r="F277" s="117">
        <v>1404</v>
      </c>
      <c r="G277" s="321" t="s">
        <v>311</v>
      </c>
      <c r="H277" s="144">
        <f>bargiri[[#This Row],[میزان بارگیری شده]]*bargiri[[#This Row],[فی]]</f>
        <v>1171805580</v>
      </c>
      <c r="I277" s="321">
        <f>IF(year=bargiri[[#This Row],[سال]],1,0)</f>
        <v>1</v>
      </c>
      <c r="X277" s="1"/>
      <c r="Y277" s="1"/>
      <c r="Z277" s="1"/>
    </row>
    <row r="278" spans="1:26" ht="18.600000000000001" hidden="1" x14ac:dyDescent="0.25">
      <c r="A278" s="321" t="s">
        <v>581</v>
      </c>
      <c r="B278" s="321" t="s">
        <v>114</v>
      </c>
      <c r="C278" s="318" t="s">
        <v>62</v>
      </c>
      <c r="D278">
        <v>21685</v>
      </c>
      <c r="E278" s="143">
        <v>75000</v>
      </c>
      <c r="F278" s="117">
        <v>1404</v>
      </c>
      <c r="G278" s="321" t="s">
        <v>311</v>
      </c>
      <c r="H278" s="144">
        <f>bargiri[[#This Row],[میزان بارگیری شده]]*bargiri[[#This Row],[فی]]</f>
        <v>1626375000</v>
      </c>
      <c r="I278" s="321">
        <f>IF(year=bargiri[[#This Row],[سال]],1,0)</f>
        <v>1</v>
      </c>
      <c r="X278" s="1"/>
      <c r="Y278" s="1"/>
      <c r="Z278" s="1"/>
    </row>
    <row r="279" spans="1:26" ht="18.600000000000001" hidden="1" x14ac:dyDescent="0.25">
      <c r="A279" s="321" t="s">
        <v>581</v>
      </c>
      <c r="B279" s="321" t="s">
        <v>116</v>
      </c>
      <c r="C279" s="318" t="s">
        <v>571</v>
      </c>
      <c r="D279">
        <v>17980</v>
      </c>
      <c r="E279" s="143">
        <v>142000</v>
      </c>
      <c r="F279" s="117">
        <v>1404</v>
      </c>
      <c r="G279" s="321" t="s">
        <v>311</v>
      </c>
      <c r="H279" s="144">
        <f>bargiri[[#This Row],[میزان بارگیری شده]]*bargiri[[#This Row],[فی]]</f>
        <v>2553160000</v>
      </c>
      <c r="I279" s="321">
        <f>IF(year=bargiri[[#This Row],[سال]],1,0)</f>
        <v>1</v>
      </c>
      <c r="X279" s="1"/>
      <c r="Y279" s="1"/>
      <c r="Z279" s="1"/>
    </row>
    <row r="280" spans="1:26" ht="18.600000000000001" hidden="1" x14ac:dyDescent="0.25">
      <c r="A280" s="321" t="s">
        <v>581</v>
      </c>
      <c r="B280" s="321" t="s">
        <v>113</v>
      </c>
      <c r="C280" s="318" t="s">
        <v>61</v>
      </c>
      <c r="D280">
        <v>18525</v>
      </c>
      <c r="E280" s="143">
        <v>75000</v>
      </c>
      <c r="F280" s="117">
        <v>1404</v>
      </c>
      <c r="G280" s="321" t="s">
        <v>311</v>
      </c>
      <c r="H280" s="144">
        <f>bargiri[[#This Row],[میزان بارگیری شده]]*bargiri[[#This Row],[فی]]</f>
        <v>1389375000</v>
      </c>
      <c r="I280" s="321">
        <f>IF(year=bargiri[[#This Row],[سال]],1,0)</f>
        <v>1</v>
      </c>
      <c r="X280" s="1"/>
      <c r="Y280" s="1"/>
      <c r="Z280" s="1"/>
    </row>
    <row r="281" spans="1:26" ht="18.600000000000001" hidden="1" x14ac:dyDescent="0.25">
      <c r="A281" s="321" t="s">
        <v>581</v>
      </c>
      <c r="B281" s="321" t="s">
        <v>109</v>
      </c>
      <c r="C281" s="318" t="s">
        <v>570</v>
      </c>
      <c r="D281">
        <v>19975</v>
      </c>
      <c r="E281" s="143">
        <v>142000</v>
      </c>
      <c r="F281" s="117">
        <v>1404</v>
      </c>
      <c r="G281" s="321" t="s">
        <v>311</v>
      </c>
      <c r="H281" s="144">
        <f>bargiri[[#This Row],[میزان بارگیری شده]]*bargiri[[#This Row],[فی]]</f>
        <v>2836450000</v>
      </c>
      <c r="I281" s="321">
        <f>IF(year=bargiri[[#This Row],[سال]],1,0)</f>
        <v>1</v>
      </c>
      <c r="X281" s="1"/>
      <c r="Y281" s="1"/>
      <c r="Z281" s="1"/>
    </row>
    <row r="282" spans="1:26" ht="18.600000000000001" hidden="1" x14ac:dyDescent="0.25">
      <c r="A282" s="321" t="s">
        <v>581</v>
      </c>
      <c r="B282" s="321" t="s">
        <v>116</v>
      </c>
      <c r="C282" s="318" t="s">
        <v>571</v>
      </c>
      <c r="D282">
        <v>20005</v>
      </c>
      <c r="E282" s="143">
        <v>142000</v>
      </c>
      <c r="F282" s="117">
        <v>1404</v>
      </c>
      <c r="G282" s="321" t="s">
        <v>311</v>
      </c>
      <c r="H282" s="144">
        <f>bargiri[[#This Row],[میزان بارگیری شده]]*bargiri[[#This Row],[فی]]</f>
        <v>2840710000</v>
      </c>
      <c r="I282" s="321">
        <f>IF(year=bargiri[[#This Row],[سال]],1,0)</f>
        <v>1</v>
      </c>
      <c r="X282" s="1"/>
      <c r="Y282" s="1"/>
      <c r="Z282" s="1"/>
    </row>
    <row r="283" spans="1:26" ht="18.600000000000001" hidden="1" x14ac:dyDescent="0.25">
      <c r="A283" s="321" t="s">
        <v>582</v>
      </c>
      <c r="B283" s="321" t="s">
        <v>116</v>
      </c>
      <c r="C283" s="318" t="s">
        <v>571</v>
      </c>
      <c r="D283">
        <v>18750</v>
      </c>
      <c r="E283" s="143">
        <v>142000</v>
      </c>
      <c r="F283" s="117">
        <v>1404</v>
      </c>
      <c r="G283" s="321" t="s">
        <v>311</v>
      </c>
      <c r="H283" s="144">
        <f>bargiri[[#This Row],[میزان بارگیری شده]]*bargiri[[#This Row],[فی]]</f>
        <v>2662500000</v>
      </c>
      <c r="I283" s="321">
        <f>IF(year=bargiri[[#This Row],[سال]],1,0)</f>
        <v>1</v>
      </c>
      <c r="X283" s="1"/>
      <c r="Y283" s="1"/>
      <c r="Z283" s="1"/>
    </row>
    <row r="284" spans="1:26" ht="18.600000000000001" hidden="1" x14ac:dyDescent="0.25">
      <c r="A284" s="321" t="s">
        <v>582</v>
      </c>
      <c r="B284" s="321" t="s">
        <v>102</v>
      </c>
      <c r="C284" s="318" t="s">
        <v>24</v>
      </c>
      <c r="D284">
        <v>11780</v>
      </c>
      <c r="E284" s="143">
        <v>70000</v>
      </c>
      <c r="F284" s="117">
        <v>1404</v>
      </c>
      <c r="G284" s="321" t="s">
        <v>311</v>
      </c>
      <c r="H284" s="144">
        <f>bargiri[[#This Row],[میزان بارگیری شده]]*bargiri[[#This Row],[فی]]</f>
        <v>824600000</v>
      </c>
      <c r="I284" s="321">
        <f>IF(year=bargiri[[#This Row],[سال]],1,0)</f>
        <v>1</v>
      </c>
      <c r="X284" s="1"/>
      <c r="Y284" s="1"/>
      <c r="Z284" s="1"/>
    </row>
    <row r="285" spans="1:26" ht="18.600000000000001" hidden="1" x14ac:dyDescent="0.25">
      <c r="A285" s="321" t="s">
        <v>582</v>
      </c>
      <c r="B285" s="321" t="s">
        <v>122</v>
      </c>
      <c r="C285" s="318" t="s">
        <v>91</v>
      </c>
      <c r="D285">
        <v>9615</v>
      </c>
      <c r="E285" s="143">
        <v>75000</v>
      </c>
      <c r="F285" s="117">
        <v>1404</v>
      </c>
      <c r="G285" s="321" t="s">
        <v>311</v>
      </c>
      <c r="H285" s="144">
        <f>bargiri[[#This Row],[میزان بارگیری شده]]*bargiri[[#This Row],[فی]]</f>
        <v>721125000</v>
      </c>
      <c r="I285" s="321">
        <f>IF(year=bargiri[[#This Row],[سال]],1,0)</f>
        <v>1</v>
      </c>
      <c r="X285" s="1"/>
      <c r="Y285" s="1"/>
      <c r="Z285" s="1"/>
    </row>
    <row r="286" spans="1:26" ht="18.600000000000001" hidden="1" x14ac:dyDescent="0.25">
      <c r="A286" s="321" t="s">
        <v>582</v>
      </c>
      <c r="B286" s="321" t="s">
        <v>122</v>
      </c>
      <c r="C286" s="318" t="s">
        <v>575</v>
      </c>
      <c r="D286">
        <v>10355</v>
      </c>
      <c r="E286" s="143">
        <v>142000</v>
      </c>
      <c r="F286" s="117">
        <v>1404</v>
      </c>
      <c r="G286" s="321" t="s">
        <v>311</v>
      </c>
      <c r="H286" s="144">
        <f>bargiri[[#This Row],[میزان بارگیری شده]]*bargiri[[#This Row],[فی]]</f>
        <v>1470410000</v>
      </c>
      <c r="I286" s="321">
        <f>IF(year=bargiri[[#This Row],[سال]],1,0)</f>
        <v>1</v>
      </c>
      <c r="X286" s="1"/>
      <c r="Y286" s="1"/>
      <c r="Z286" s="1"/>
    </row>
    <row r="287" spans="1:26" ht="18.600000000000001" hidden="1" x14ac:dyDescent="0.25">
      <c r="A287" s="321" t="s">
        <v>583</v>
      </c>
      <c r="B287" s="321" t="s">
        <v>98</v>
      </c>
      <c r="C287" s="318" t="s">
        <v>548</v>
      </c>
      <c r="D287">
        <v>23190</v>
      </c>
      <c r="E287" s="143">
        <v>80000</v>
      </c>
      <c r="F287" s="117">
        <v>1404</v>
      </c>
      <c r="G287" s="321" t="s">
        <v>311</v>
      </c>
      <c r="H287" s="144">
        <f>bargiri[[#This Row],[میزان بارگیری شده]]*bargiri[[#This Row],[فی]]</f>
        <v>1855200000</v>
      </c>
      <c r="I287" s="321">
        <f>IF(year=bargiri[[#This Row],[سال]],1,0)</f>
        <v>1</v>
      </c>
      <c r="X287" s="1"/>
      <c r="Y287" s="1"/>
      <c r="Z287" s="1"/>
    </row>
    <row r="288" spans="1:26" ht="18.600000000000001" hidden="1" x14ac:dyDescent="0.25">
      <c r="A288" s="321" t="s">
        <v>584</v>
      </c>
      <c r="B288" s="321" t="s">
        <v>103</v>
      </c>
      <c r="C288" s="318" t="s">
        <v>566</v>
      </c>
      <c r="D288">
        <v>7140</v>
      </c>
      <c r="E288" s="143">
        <v>142000</v>
      </c>
      <c r="F288" s="117">
        <v>1404</v>
      </c>
      <c r="G288" s="321" t="s">
        <v>311</v>
      </c>
      <c r="H288" s="144">
        <f>bargiri[[#This Row],[میزان بارگیری شده]]*bargiri[[#This Row],[فی]]</f>
        <v>1013880000</v>
      </c>
      <c r="I288" s="321">
        <f>IF(year=bargiri[[#This Row],[سال]],1,0)</f>
        <v>1</v>
      </c>
      <c r="X288" s="1"/>
      <c r="Y288" s="1"/>
      <c r="Z288" s="1"/>
    </row>
    <row r="289" spans="1:26" ht="18.600000000000001" hidden="1" x14ac:dyDescent="0.25">
      <c r="A289" s="321" t="s">
        <v>584</v>
      </c>
      <c r="B289" s="321" t="s">
        <v>103</v>
      </c>
      <c r="C289" s="318" t="s">
        <v>566</v>
      </c>
      <c r="D289">
        <v>7165</v>
      </c>
      <c r="E289" s="143">
        <v>142000</v>
      </c>
      <c r="F289" s="117">
        <v>1404</v>
      </c>
      <c r="G289" s="321" t="s">
        <v>311</v>
      </c>
      <c r="H289" s="144">
        <f>bargiri[[#This Row],[میزان بارگیری شده]]*bargiri[[#This Row],[فی]]</f>
        <v>1017430000</v>
      </c>
      <c r="I289" s="321">
        <f>IF(year=bargiri[[#This Row],[سال]],1,0)</f>
        <v>1</v>
      </c>
      <c r="X289" s="1"/>
      <c r="Y289" s="1"/>
      <c r="Z289" s="1"/>
    </row>
    <row r="290" spans="1:26" ht="18.600000000000001" hidden="1" x14ac:dyDescent="0.25">
      <c r="A290" s="321" t="s">
        <v>584</v>
      </c>
      <c r="B290" s="321" t="s">
        <v>116</v>
      </c>
      <c r="C290" s="318" t="s">
        <v>571</v>
      </c>
      <c r="D290">
        <v>17880</v>
      </c>
      <c r="E290" s="143">
        <v>142000</v>
      </c>
      <c r="F290" s="117">
        <v>1404</v>
      </c>
      <c r="G290" s="321" t="s">
        <v>311</v>
      </c>
      <c r="H290" s="144">
        <f>bargiri[[#This Row],[میزان بارگیری شده]]*bargiri[[#This Row],[فی]]</f>
        <v>2538960000</v>
      </c>
      <c r="I290" s="321">
        <f>IF(year=bargiri[[#This Row],[سال]],1,0)</f>
        <v>1</v>
      </c>
      <c r="X290" s="1"/>
      <c r="Y290" s="1"/>
      <c r="Z290" s="1"/>
    </row>
    <row r="291" spans="1:26" ht="18.600000000000001" hidden="1" x14ac:dyDescent="0.25">
      <c r="A291" s="321" t="s">
        <v>584</v>
      </c>
      <c r="B291" s="321" t="s">
        <v>104</v>
      </c>
      <c r="C291" s="318" t="s">
        <v>38</v>
      </c>
      <c r="D291">
        <v>17990</v>
      </c>
      <c r="E291" s="143">
        <v>83800</v>
      </c>
      <c r="F291" s="117">
        <v>1404</v>
      </c>
      <c r="G291" s="321" t="s">
        <v>311</v>
      </c>
      <c r="H291" s="144">
        <f>bargiri[[#This Row],[میزان بارگیری شده]]*bargiri[[#This Row],[فی]]</f>
        <v>1507562000</v>
      </c>
      <c r="I291" s="321">
        <f>IF(year=bargiri[[#This Row],[سال]],1,0)</f>
        <v>1</v>
      </c>
      <c r="X291" s="1"/>
      <c r="Y291" s="1"/>
      <c r="Z291" s="1"/>
    </row>
    <row r="292" spans="1:26" ht="18.600000000000001" hidden="1" x14ac:dyDescent="0.25">
      <c r="A292" s="321" t="s">
        <v>584</v>
      </c>
      <c r="B292" s="321" t="s">
        <v>103</v>
      </c>
      <c r="C292" s="318" t="s">
        <v>566</v>
      </c>
      <c r="D292">
        <v>7515</v>
      </c>
      <c r="E292" s="143">
        <v>142000</v>
      </c>
      <c r="F292" s="117">
        <v>1404</v>
      </c>
      <c r="G292" s="321" t="s">
        <v>311</v>
      </c>
      <c r="H292" s="144">
        <f>bargiri[[#This Row],[میزان بارگیری شده]]*bargiri[[#This Row],[فی]]</f>
        <v>1067130000</v>
      </c>
      <c r="I292" s="321">
        <f>IF(year=bargiri[[#This Row],[سال]],1,0)</f>
        <v>1</v>
      </c>
      <c r="X292" s="1"/>
      <c r="Y292" s="1"/>
      <c r="Z292" s="1"/>
    </row>
    <row r="293" spans="1:26" ht="18.600000000000001" hidden="1" x14ac:dyDescent="0.25">
      <c r="A293" s="321" t="s">
        <v>584</v>
      </c>
      <c r="B293" s="321" t="s">
        <v>113</v>
      </c>
      <c r="C293" s="318" t="s">
        <v>61</v>
      </c>
      <c r="D293">
        <v>18990</v>
      </c>
      <c r="E293" s="143">
        <v>75000</v>
      </c>
      <c r="F293" s="117">
        <v>1404</v>
      </c>
      <c r="G293" s="321" t="s">
        <v>311</v>
      </c>
      <c r="H293" s="144">
        <f>bargiri[[#This Row],[میزان بارگیری شده]]*bargiri[[#This Row],[فی]]</f>
        <v>1424250000</v>
      </c>
      <c r="I293" s="321">
        <f>IF(year=bargiri[[#This Row],[سال]],1,0)</f>
        <v>1</v>
      </c>
      <c r="X293" s="1"/>
      <c r="Y293" s="1"/>
      <c r="Z293" s="1"/>
    </row>
    <row r="294" spans="1:26" ht="18.600000000000001" hidden="1" x14ac:dyDescent="0.25">
      <c r="A294" s="321" t="s">
        <v>583</v>
      </c>
      <c r="B294" s="321" t="s">
        <v>122</v>
      </c>
      <c r="C294" s="318" t="s">
        <v>91</v>
      </c>
      <c r="D294">
        <v>19840</v>
      </c>
      <c r="E294" s="143">
        <v>75000</v>
      </c>
      <c r="F294" s="117">
        <v>1404</v>
      </c>
      <c r="G294" s="321" t="s">
        <v>311</v>
      </c>
      <c r="H294" s="144">
        <f>bargiri[[#This Row],[میزان بارگیری شده]]*bargiri[[#This Row],[فی]]</f>
        <v>1488000000</v>
      </c>
      <c r="I294" s="321">
        <f>IF(year=bargiri[[#This Row],[سال]],1,0)</f>
        <v>1</v>
      </c>
      <c r="X294" s="1"/>
      <c r="Y294" s="1"/>
      <c r="Z294" s="1"/>
    </row>
    <row r="295" spans="1:26" ht="18.600000000000001" hidden="1" x14ac:dyDescent="0.25">
      <c r="A295" s="321" t="s">
        <v>583</v>
      </c>
      <c r="B295" s="321" t="s">
        <v>109</v>
      </c>
      <c r="C295" s="318" t="s">
        <v>570</v>
      </c>
      <c r="D295">
        <v>7535</v>
      </c>
      <c r="E295" s="143">
        <v>142000</v>
      </c>
      <c r="F295" s="117">
        <v>1404</v>
      </c>
      <c r="G295" s="321" t="s">
        <v>311</v>
      </c>
      <c r="H295" s="144">
        <f>bargiri[[#This Row],[میزان بارگیری شده]]*bargiri[[#This Row],[فی]]</f>
        <v>1069970000</v>
      </c>
      <c r="I295" s="321">
        <f>IF(year=bargiri[[#This Row],[سال]],1,0)</f>
        <v>1</v>
      </c>
      <c r="X295" s="1"/>
      <c r="Y295" s="1"/>
      <c r="Z295" s="1"/>
    </row>
    <row r="296" spans="1:26" ht="18.600000000000001" hidden="1" x14ac:dyDescent="0.25">
      <c r="A296" s="321" t="s">
        <v>583</v>
      </c>
      <c r="B296" s="321" t="s">
        <v>102</v>
      </c>
      <c r="C296" s="318" t="s">
        <v>24</v>
      </c>
      <c r="D296">
        <v>11800</v>
      </c>
      <c r="E296" s="143">
        <v>70000</v>
      </c>
      <c r="F296" s="117">
        <v>1404</v>
      </c>
      <c r="G296" s="321" t="s">
        <v>311</v>
      </c>
      <c r="H296" s="144">
        <f>bargiri[[#This Row],[میزان بارگیری شده]]*bargiri[[#This Row],[فی]]</f>
        <v>826000000</v>
      </c>
      <c r="I296" s="321">
        <f>IF(year=bargiri[[#This Row],[سال]],1,0)</f>
        <v>1</v>
      </c>
      <c r="X296" s="1"/>
      <c r="Y296" s="1"/>
      <c r="Z296" s="1"/>
    </row>
    <row r="297" spans="1:26" ht="18.600000000000001" hidden="1" x14ac:dyDescent="0.25">
      <c r="A297" s="321" t="s">
        <v>583</v>
      </c>
      <c r="B297" s="321" t="s">
        <v>101</v>
      </c>
      <c r="C297" s="318" t="s">
        <v>19</v>
      </c>
      <c r="D297">
        <v>21070</v>
      </c>
      <c r="E297" s="143">
        <v>75000</v>
      </c>
      <c r="F297" s="117">
        <v>1404</v>
      </c>
      <c r="G297" s="321" t="s">
        <v>311</v>
      </c>
      <c r="H297" s="144">
        <f>bargiri[[#This Row],[میزان بارگیری شده]]*bargiri[[#This Row],[فی]]</f>
        <v>1580250000</v>
      </c>
      <c r="I297" s="321">
        <f>IF(year=bargiri[[#This Row],[سال]],1,0)</f>
        <v>1</v>
      </c>
      <c r="X297" s="1"/>
      <c r="Y297" s="1"/>
      <c r="Z297" s="1"/>
    </row>
    <row r="298" spans="1:26" ht="18.600000000000001" hidden="1" x14ac:dyDescent="0.25">
      <c r="A298" s="321" t="s">
        <v>583</v>
      </c>
      <c r="B298" s="321" t="s">
        <v>113</v>
      </c>
      <c r="C298" s="318" t="s">
        <v>61</v>
      </c>
      <c r="D298">
        <v>19300</v>
      </c>
      <c r="E298" s="143">
        <v>75000</v>
      </c>
      <c r="F298" s="117">
        <v>1404</v>
      </c>
      <c r="G298" s="321" t="s">
        <v>311</v>
      </c>
      <c r="H298" s="144">
        <f>bargiri[[#This Row],[میزان بارگیری شده]]*bargiri[[#This Row],[فی]]</f>
        <v>1447500000</v>
      </c>
      <c r="I298" s="321">
        <f>IF(year=bargiri[[#This Row],[سال]],1,0)</f>
        <v>1</v>
      </c>
      <c r="X298" s="1"/>
      <c r="Y298" s="1"/>
      <c r="Z298" s="1"/>
    </row>
    <row r="299" spans="1:26" ht="18.600000000000001" hidden="1" x14ac:dyDescent="0.25">
      <c r="A299" s="321" t="s">
        <v>583</v>
      </c>
      <c r="B299" s="321" t="s">
        <v>109</v>
      </c>
      <c r="C299" s="318" t="s">
        <v>570</v>
      </c>
      <c r="D299">
        <v>7465</v>
      </c>
      <c r="E299" s="143">
        <v>142000</v>
      </c>
      <c r="F299" s="117">
        <v>1404</v>
      </c>
      <c r="G299" s="321" t="s">
        <v>311</v>
      </c>
      <c r="H299" s="144">
        <f>bargiri[[#This Row],[میزان بارگیری شده]]*bargiri[[#This Row],[فی]]</f>
        <v>1060030000</v>
      </c>
      <c r="I299" s="321">
        <f>IF(year=bargiri[[#This Row],[سال]],1,0)</f>
        <v>1</v>
      </c>
      <c r="X299" s="1"/>
      <c r="Y299" s="1"/>
      <c r="Z299" s="1"/>
    </row>
    <row r="300" spans="1:26" ht="18.600000000000001" hidden="1" x14ac:dyDescent="0.25">
      <c r="A300" s="321" t="s">
        <v>583</v>
      </c>
      <c r="B300" s="321" t="s">
        <v>116</v>
      </c>
      <c r="C300" s="318" t="s">
        <v>571</v>
      </c>
      <c r="D300">
        <v>17685</v>
      </c>
      <c r="E300" s="143">
        <v>142000</v>
      </c>
      <c r="F300" s="117">
        <v>1404</v>
      </c>
      <c r="G300" s="321" t="s">
        <v>311</v>
      </c>
      <c r="H300" s="144">
        <f>bargiri[[#This Row],[میزان بارگیری شده]]*bargiri[[#This Row],[فی]]</f>
        <v>2511270000</v>
      </c>
      <c r="I300" s="321">
        <f>IF(year=bargiri[[#This Row],[سال]],1,0)</f>
        <v>1</v>
      </c>
      <c r="X300" s="1"/>
      <c r="Y300" s="1"/>
      <c r="Z300" s="1"/>
    </row>
    <row r="301" spans="1:26" ht="18.600000000000001" hidden="1" x14ac:dyDescent="0.25">
      <c r="A301" s="321" t="s">
        <v>585</v>
      </c>
      <c r="B301" s="321" t="s">
        <v>101</v>
      </c>
      <c r="C301" s="318" t="s">
        <v>19</v>
      </c>
      <c r="D301">
        <v>20190</v>
      </c>
      <c r="E301" s="143">
        <v>75000</v>
      </c>
      <c r="F301" s="117">
        <v>1404</v>
      </c>
      <c r="G301" s="321" t="s">
        <v>311</v>
      </c>
      <c r="H301" s="144">
        <f>bargiri[[#This Row],[میزان بارگیری شده]]*bargiri[[#This Row],[فی]]</f>
        <v>1514250000</v>
      </c>
      <c r="I301" s="321">
        <f>IF(year=bargiri[[#This Row],[سال]],1,0)</f>
        <v>1</v>
      </c>
      <c r="X301" s="1"/>
      <c r="Y301" s="1"/>
      <c r="Z301" s="1"/>
    </row>
    <row r="302" spans="1:26" ht="18.600000000000001" hidden="1" x14ac:dyDescent="0.25">
      <c r="A302" s="321" t="s">
        <v>585</v>
      </c>
      <c r="B302" s="321" t="s">
        <v>103</v>
      </c>
      <c r="C302" s="318" t="s">
        <v>566</v>
      </c>
      <c r="D302">
        <v>20020</v>
      </c>
      <c r="E302" s="143">
        <v>142000</v>
      </c>
      <c r="F302" s="117">
        <v>1404</v>
      </c>
      <c r="G302" s="321" t="s">
        <v>311</v>
      </c>
      <c r="H302" s="144">
        <f>bargiri[[#This Row],[میزان بارگیری شده]]*bargiri[[#This Row],[فی]]</f>
        <v>2842840000</v>
      </c>
      <c r="I302" s="321">
        <f>IF(year=bargiri[[#This Row],[سال]],1,0)</f>
        <v>1</v>
      </c>
      <c r="X302" s="1"/>
      <c r="Y302" s="1"/>
      <c r="Z302" s="1"/>
    </row>
    <row r="303" spans="1:26" ht="18.600000000000001" hidden="1" x14ac:dyDescent="0.25">
      <c r="A303" s="321" t="s">
        <v>585</v>
      </c>
      <c r="B303" s="321" t="s">
        <v>116</v>
      </c>
      <c r="C303" s="318" t="s">
        <v>571</v>
      </c>
      <c r="D303">
        <v>19970</v>
      </c>
      <c r="E303" s="143">
        <v>142000</v>
      </c>
      <c r="F303" s="117">
        <v>1404</v>
      </c>
      <c r="G303" s="321" t="s">
        <v>311</v>
      </c>
      <c r="H303" s="144">
        <f>bargiri[[#This Row],[میزان بارگیری شده]]*bargiri[[#This Row],[فی]]</f>
        <v>2835740000</v>
      </c>
      <c r="I303" s="321">
        <f>IF(year=bargiri[[#This Row],[سال]],1,0)</f>
        <v>1</v>
      </c>
      <c r="X303" s="1"/>
      <c r="Y303" s="1"/>
      <c r="Z303" s="1"/>
    </row>
    <row r="304" spans="1:26" ht="18.600000000000001" hidden="1" x14ac:dyDescent="0.25">
      <c r="A304" s="321" t="s">
        <v>585</v>
      </c>
      <c r="B304" s="321" t="s">
        <v>102</v>
      </c>
      <c r="C304" s="318" t="s">
        <v>24</v>
      </c>
      <c r="D304">
        <v>10150</v>
      </c>
      <c r="E304" s="143">
        <v>70000</v>
      </c>
      <c r="F304" s="117">
        <v>1404</v>
      </c>
      <c r="G304" s="321" t="s">
        <v>311</v>
      </c>
      <c r="H304" s="144">
        <f>bargiri[[#This Row],[میزان بارگیری شده]]*bargiri[[#This Row],[فی]]</f>
        <v>710500000</v>
      </c>
      <c r="I304" s="321">
        <f>IF(year=bargiri[[#This Row],[سال]],1,0)</f>
        <v>1</v>
      </c>
      <c r="X304" s="1"/>
      <c r="Y304" s="1"/>
      <c r="Z304" s="1"/>
    </row>
    <row r="305" spans="1:26" ht="18.600000000000001" hidden="1" x14ac:dyDescent="0.25">
      <c r="A305" s="321" t="s">
        <v>585</v>
      </c>
      <c r="B305" s="321" t="s">
        <v>100</v>
      </c>
      <c r="C305" s="318" t="s">
        <v>561</v>
      </c>
      <c r="D305">
        <v>6690</v>
      </c>
      <c r="E305" s="143">
        <v>142000</v>
      </c>
      <c r="F305" s="117">
        <v>1404</v>
      </c>
      <c r="G305" s="321" t="s">
        <v>311</v>
      </c>
      <c r="H305" s="144">
        <f>bargiri[[#This Row],[میزان بارگیری شده]]*bargiri[[#This Row],[فی]]</f>
        <v>949980000</v>
      </c>
      <c r="I305" s="321">
        <f>IF(year=bargiri[[#This Row],[سال]],1,0)</f>
        <v>1</v>
      </c>
      <c r="X305" s="1"/>
      <c r="Y305" s="1"/>
      <c r="Z305" s="1"/>
    </row>
    <row r="306" spans="1:26" ht="18.600000000000001" hidden="1" x14ac:dyDescent="0.25">
      <c r="A306" s="321" t="s">
        <v>585</v>
      </c>
      <c r="B306" s="321" t="s">
        <v>125</v>
      </c>
      <c r="C306" s="318" t="s">
        <v>577</v>
      </c>
      <c r="D306">
        <v>14335</v>
      </c>
      <c r="E306" s="143">
        <v>142000</v>
      </c>
      <c r="F306" s="117">
        <v>1404</v>
      </c>
      <c r="G306" s="321" t="s">
        <v>311</v>
      </c>
      <c r="H306" s="144">
        <f>bargiri[[#This Row],[میزان بارگیری شده]]*bargiri[[#This Row],[فی]]</f>
        <v>2035570000</v>
      </c>
      <c r="I306" s="321">
        <f>IF(year=bargiri[[#This Row],[سال]],1,0)</f>
        <v>1</v>
      </c>
      <c r="X306" s="1"/>
      <c r="Y306" s="1"/>
      <c r="Z306" s="1"/>
    </row>
    <row r="307" spans="1:26" ht="18.600000000000001" hidden="1" x14ac:dyDescent="0.25">
      <c r="A307" s="321" t="s">
        <v>586</v>
      </c>
      <c r="B307" s="321" t="s">
        <v>109</v>
      </c>
      <c r="C307" s="318" t="s">
        <v>570</v>
      </c>
      <c r="D307">
        <v>7365</v>
      </c>
      <c r="E307" s="143">
        <v>142000</v>
      </c>
      <c r="F307" s="117">
        <v>1404</v>
      </c>
      <c r="G307" s="321" t="s">
        <v>311</v>
      </c>
      <c r="H307" s="144">
        <f>bargiri[[#This Row],[میزان بارگیری شده]]*bargiri[[#This Row],[فی]]</f>
        <v>1045830000</v>
      </c>
      <c r="I307" s="321">
        <f>IF(year=bargiri[[#This Row],[سال]],1,0)</f>
        <v>1</v>
      </c>
      <c r="X307" s="1"/>
      <c r="Y307" s="1"/>
      <c r="Z307" s="1"/>
    </row>
    <row r="308" spans="1:26" ht="18.600000000000001" hidden="1" x14ac:dyDescent="0.25">
      <c r="A308" s="321" t="s">
        <v>586</v>
      </c>
      <c r="B308" s="321" t="s">
        <v>116</v>
      </c>
      <c r="C308" s="318" t="s">
        <v>571</v>
      </c>
      <c r="D308">
        <v>20005</v>
      </c>
      <c r="E308" s="143">
        <v>142000</v>
      </c>
      <c r="F308" s="117">
        <v>1404</v>
      </c>
      <c r="G308" s="321" t="s">
        <v>311</v>
      </c>
      <c r="H308" s="144">
        <f>bargiri[[#This Row],[میزان بارگیری شده]]*bargiri[[#This Row],[فی]]</f>
        <v>2840710000</v>
      </c>
      <c r="I308" s="321">
        <f>IF(year=bargiri[[#This Row],[سال]],1,0)</f>
        <v>1</v>
      </c>
      <c r="X308" s="1"/>
      <c r="Y308" s="1"/>
      <c r="Z308" s="1"/>
    </row>
    <row r="309" spans="1:26" ht="18.600000000000001" hidden="1" x14ac:dyDescent="0.25">
      <c r="A309" s="321" t="s">
        <v>586</v>
      </c>
      <c r="B309" s="321" t="s">
        <v>116</v>
      </c>
      <c r="C309" s="318" t="s">
        <v>571</v>
      </c>
      <c r="D309">
        <v>8100</v>
      </c>
      <c r="E309" s="143">
        <v>142000</v>
      </c>
      <c r="F309" s="117">
        <v>1404</v>
      </c>
      <c r="G309" s="321" t="s">
        <v>311</v>
      </c>
      <c r="H309" s="144">
        <f>bargiri[[#This Row],[میزان بارگیری شده]]*bargiri[[#This Row],[فی]]</f>
        <v>1150200000</v>
      </c>
      <c r="I309" s="321">
        <f>IF(year=bargiri[[#This Row],[سال]],1,0)</f>
        <v>1</v>
      </c>
      <c r="X309" s="1"/>
      <c r="Y309" s="1"/>
      <c r="Z309" s="1"/>
    </row>
    <row r="310" spans="1:26" ht="18.600000000000001" hidden="1" x14ac:dyDescent="0.25">
      <c r="A310" s="321" t="s">
        <v>586</v>
      </c>
      <c r="B310" s="321" t="s">
        <v>103</v>
      </c>
      <c r="C310" s="318" t="s">
        <v>566</v>
      </c>
      <c r="D310">
        <v>7200</v>
      </c>
      <c r="E310" s="143">
        <v>142000</v>
      </c>
      <c r="F310" s="117">
        <v>1404</v>
      </c>
      <c r="G310" s="321" t="s">
        <v>311</v>
      </c>
      <c r="H310" s="144">
        <f>bargiri[[#This Row],[میزان بارگیری شده]]*bargiri[[#This Row],[فی]]</f>
        <v>1022400000</v>
      </c>
      <c r="I310" s="321">
        <f>IF(year=bargiri[[#This Row],[سال]],1,0)</f>
        <v>1</v>
      </c>
      <c r="X310" s="1"/>
      <c r="Y310" s="1"/>
      <c r="Z310" s="1"/>
    </row>
    <row r="311" spans="1:26" ht="18.600000000000001" hidden="1" x14ac:dyDescent="0.25">
      <c r="A311" s="321" t="s">
        <v>586</v>
      </c>
      <c r="B311" s="321" t="s">
        <v>116</v>
      </c>
      <c r="C311" s="318" t="s">
        <v>571</v>
      </c>
      <c r="D311">
        <v>20015</v>
      </c>
      <c r="E311" s="143">
        <v>142000</v>
      </c>
      <c r="F311" s="117">
        <v>1404</v>
      </c>
      <c r="G311" s="321" t="s">
        <v>311</v>
      </c>
      <c r="H311" s="144">
        <f>bargiri[[#This Row],[میزان بارگیری شده]]*bargiri[[#This Row],[فی]]</f>
        <v>2842130000</v>
      </c>
      <c r="I311" s="321">
        <f>IF(year=bargiri[[#This Row],[سال]],1,0)</f>
        <v>1</v>
      </c>
      <c r="X311" s="1"/>
      <c r="Y311" s="1"/>
      <c r="Z311" s="1"/>
    </row>
    <row r="312" spans="1:26" ht="18.600000000000001" hidden="1" x14ac:dyDescent="0.25">
      <c r="A312" s="321" t="s">
        <v>586</v>
      </c>
      <c r="B312" s="321" t="s">
        <v>116</v>
      </c>
      <c r="C312" s="318" t="s">
        <v>571</v>
      </c>
      <c r="D312">
        <v>19970</v>
      </c>
      <c r="E312" s="143">
        <v>142000</v>
      </c>
      <c r="F312" s="117">
        <v>1404</v>
      </c>
      <c r="G312" s="321" t="s">
        <v>311</v>
      </c>
      <c r="H312" s="144">
        <f>bargiri[[#This Row],[میزان بارگیری شده]]*bargiri[[#This Row],[فی]]</f>
        <v>2835740000</v>
      </c>
      <c r="I312" s="321">
        <f>IF(year=bargiri[[#This Row],[سال]],1,0)</f>
        <v>1</v>
      </c>
      <c r="X312" s="1"/>
      <c r="Y312" s="1"/>
      <c r="Z312" s="1"/>
    </row>
    <row r="313" spans="1:26" ht="18.600000000000001" hidden="1" x14ac:dyDescent="0.25">
      <c r="A313" s="321" t="s">
        <v>586</v>
      </c>
      <c r="B313" s="321" t="s">
        <v>103</v>
      </c>
      <c r="C313" s="318" t="s">
        <v>566</v>
      </c>
      <c r="D313">
        <v>7455</v>
      </c>
      <c r="E313" s="143">
        <v>142000</v>
      </c>
      <c r="F313" s="117">
        <v>1404</v>
      </c>
      <c r="G313" s="321" t="s">
        <v>311</v>
      </c>
      <c r="H313" s="144">
        <f>bargiri[[#This Row],[میزان بارگیری شده]]*bargiri[[#This Row],[فی]]</f>
        <v>1058610000</v>
      </c>
      <c r="I313" s="321">
        <f>IF(year=bargiri[[#This Row],[سال]],1,0)</f>
        <v>1</v>
      </c>
      <c r="X313" s="1"/>
      <c r="Y313" s="1"/>
      <c r="Z313" s="1"/>
    </row>
    <row r="314" spans="1:26" ht="18.600000000000001" hidden="1" x14ac:dyDescent="0.25">
      <c r="A314" s="321" t="s">
        <v>586</v>
      </c>
      <c r="B314" s="321" t="s">
        <v>101</v>
      </c>
      <c r="C314" s="318" t="s">
        <v>19</v>
      </c>
      <c r="D314">
        <v>20170</v>
      </c>
      <c r="E314" s="143">
        <v>75000</v>
      </c>
      <c r="F314" s="117">
        <v>1404</v>
      </c>
      <c r="G314" s="321" t="s">
        <v>311</v>
      </c>
      <c r="H314" s="144">
        <f>bargiri[[#This Row],[میزان بارگیری شده]]*bargiri[[#This Row],[فی]]</f>
        <v>1512750000</v>
      </c>
      <c r="I314" s="321">
        <f>IF(year=bargiri[[#This Row],[سال]],1,0)</f>
        <v>1</v>
      </c>
      <c r="X314" s="1"/>
      <c r="Y314" s="1"/>
      <c r="Z314" s="1"/>
    </row>
    <row r="315" spans="1:26" ht="18.600000000000001" hidden="1" x14ac:dyDescent="0.25">
      <c r="A315" s="321" t="s">
        <v>586</v>
      </c>
      <c r="B315" s="321" t="s">
        <v>117</v>
      </c>
      <c r="C315" s="318" t="s">
        <v>79</v>
      </c>
      <c r="D315">
        <v>19945</v>
      </c>
      <c r="E315" s="143">
        <v>75000</v>
      </c>
      <c r="F315" s="117">
        <v>1404</v>
      </c>
      <c r="G315" s="321" t="s">
        <v>311</v>
      </c>
      <c r="H315" s="144">
        <f>bargiri[[#This Row],[میزان بارگیری شده]]*bargiri[[#This Row],[فی]]</f>
        <v>1495875000</v>
      </c>
      <c r="I315" s="321">
        <f>IF(year=bargiri[[#This Row],[سال]],1,0)</f>
        <v>1</v>
      </c>
      <c r="X315" s="1"/>
      <c r="Y315" s="1"/>
      <c r="Z315" s="1"/>
    </row>
    <row r="316" spans="1:26" ht="18.600000000000001" hidden="1" x14ac:dyDescent="0.25">
      <c r="A316" s="321" t="s">
        <v>562</v>
      </c>
      <c r="B316" s="321" t="s">
        <v>103</v>
      </c>
      <c r="C316" s="318" t="s">
        <v>29</v>
      </c>
      <c r="D316">
        <v>10283</v>
      </c>
      <c r="E316" s="143">
        <v>75000</v>
      </c>
      <c r="F316" s="117">
        <v>1404</v>
      </c>
      <c r="G316" s="321" t="s">
        <v>311</v>
      </c>
      <c r="H316" s="144">
        <f>bargiri[[#This Row],[میزان بارگیری شده]]*bargiri[[#This Row],[فی]]</f>
        <v>771225000</v>
      </c>
      <c r="I316" s="321">
        <f>IF(year=bargiri[[#This Row],[سال]],1,0)</f>
        <v>1</v>
      </c>
      <c r="X316" s="1"/>
      <c r="Y316" s="1"/>
      <c r="Z316" s="1"/>
    </row>
    <row r="317" spans="1:26" ht="18.600000000000001" hidden="1" x14ac:dyDescent="0.25">
      <c r="A317" s="321" t="s">
        <v>562</v>
      </c>
      <c r="B317" s="321" t="s">
        <v>103</v>
      </c>
      <c r="C317" s="318" t="s">
        <v>566</v>
      </c>
      <c r="D317">
        <v>9837</v>
      </c>
      <c r="E317" s="143">
        <v>142000</v>
      </c>
      <c r="F317" s="117">
        <v>1404</v>
      </c>
      <c r="G317" s="321" t="s">
        <v>311</v>
      </c>
      <c r="H317" s="144">
        <f>bargiri[[#This Row],[میزان بارگیری شده]]*bargiri[[#This Row],[فی]]</f>
        <v>1396854000</v>
      </c>
      <c r="I317" s="321">
        <f>IF(year=bargiri[[#This Row],[سال]],1,0)</f>
        <v>1</v>
      </c>
      <c r="X317" s="1"/>
      <c r="Y317" s="1"/>
      <c r="Z317" s="1"/>
    </row>
    <row r="318" spans="1:26" ht="18.600000000000001" hidden="1" x14ac:dyDescent="0.25">
      <c r="A318" s="321" t="s">
        <v>555</v>
      </c>
      <c r="B318" s="321" t="s">
        <v>113</v>
      </c>
      <c r="C318" s="318" t="s">
        <v>61</v>
      </c>
      <c r="D318">
        <v>19145</v>
      </c>
      <c r="E318" s="143">
        <v>75000</v>
      </c>
      <c r="F318" s="117">
        <v>1404</v>
      </c>
      <c r="G318" s="321" t="s">
        <v>311</v>
      </c>
      <c r="H318" s="144">
        <f>bargiri[[#This Row],[میزان بارگیری شده]]*bargiri[[#This Row],[فی]]</f>
        <v>1435875000</v>
      </c>
      <c r="I318" s="321">
        <f>IF(year=bargiri[[#This Row],[سال]],1,0)</f>
        <v>1</v>
      </c>
      <c r="X318" s="1"/>
      <c r="Y318" s="1"/>
      <c r="Z318" s="1"/>
    </row>
    <row r="319" spans="1:26" ht="18.600000000000001" hidden="1" x14ac:dyDescent="0.25">
      <c r="A319" s="321" t="s">
        <v>562</v>
      </c>
      <c r="B319" s="321" t="s">
        <v>116</v>
      </c>
      <c r="C319" s="318" t="s">
        <v>77</v>
      </c>
      <c r="D319">
        <v>18135</v>
      </c>
      <c r="E319" s="143">
        <v>68500</v>
      </c>
      <c r="F319" s="117">
        <v>1404</v>
      </c>
      <c r="G319" s="321" t="s">
        <v>311</v>
      </c>
      <c r="H319" s="144">
        <f>bargiri[[#This Row],[میزان بارگیری شده]]*bargiri[[#This Row],[فی]]</f>
        <v>1242247500</v>
      </c>
      <c r="I319" s="321">
        <f>IF(year=bargiri[[#This Row],[سال]],1,0)</f>
        <v>1</v>
      </c>
      <c r="X319" s="1"/>
      <c r="Y319" s="1"/>
      <c r="Z319" s="1"/>
    </row>
    <row r="320" spans="1:26" ht="18.600000000000001" hidden="1" x14ac:dyDescent="0.25">
      <c r="A320" s="321" t="s">
        <v>562</v>
      </c>
      <c r="B320" s="321" t="s">
        <v>122</v>
      </c>
      <c r="C320" s="318" t="s">
        <v>91</v>
      </c>
      <c r="D320">
        <v>19875</v>
      </c>
      <c r="E320" s="143">
        <v>75000</v>
      </c>
      <c r="F320" s="117">
        <v>1404</v>
      </c>
      <c r="G320" s="321" t="s">
        <v>311</v>
      </c>
      <c r="H320" s="144">
        <f>bargiri[[#This Row],[میزان بارگیری شده]]*bargiri[[#This Row],[فی]]</f>
        <v>1490625000</v>
      </c>
      <c r="I320" s="321">
        <f>IF(year=bargiri[[#This Row],[سال]],1,0)</f>
        <v>1</v>
      </c>
      <c r="X320" s="1"/>
      <c r="Y320" s="1"/>
      <c r="Z320" s="1"/>
    </row>
    <row r="321" spans="1:26" ht="18.600000000000001" hidden="1" x14ac:dyDescent="0.25">
      <c r="A321" s="321" t="s">
        <v>562</v>
      </c>
      <c r="B321" s="321" t="s">
        <v>103</v>
      </c>
      <c r="C321" s="318" t="s">
        <v>29</v>
      </c>
      <c r="D321">
        <v>7275</v>
      </c>
      <c r="E321" s="143">
        <v>75000</v>
      </c>
      <c r="F321" s="117">
        <v>1404</v>
      </c>
      <c r="G321" s="321" t="s">
        <v>311</v>
      </c>
      <c r="H321" s="144">
        <f>bargiri[[#This Row],[میزان بارگیری شده]]*bargiri[[#This Row],[فی]]</f>
        <v>545625000</v>
      </c>
      <c r="I321" s="321">
        <f>IF(year=bargiri[[#This Row],[سال]],1,0)</f>
        <v>1</v>
      </c>
      <c r="X321" s="1"/>
      <c r="Y321" s="1"/>
      <c r="Z321" s="1"/>
    </row>
    <row r="322" spans="1:26" ht="18.600000000000001" hidden="1" x14ac:dyDescent="0.25">
      <c r="A322" s="321" t="s">
        <v>563</v>
      </c>
      <c r="B322" s="321" t="s">
        <v>116</v>
      </c>
      <c r="C322" s="318" t="s">
        <v>77</v>
      </c>
      <c r="D322">
        <v>17800</v>
      </c>
      <c r="E322" s="143">
        <v>68500</v>
      </c>
      <c r="F322" s="117">
        <v>1404</v>
      </c>
      <c r="G322" s="321" t="s">
        <v>311</v>
      </c>
      <c r="H322" s="144">
        <f>bargiri[[#This Row],[میزان بارگیری شده]]*bargiri[[#This Row],[فی]]</f>
        <v>1219300000</v>
      </c>
      <c r="I322" s="321">
        <f>IF(year=bargiri[[#This Row],[سال]],1,0)</f>
        <v>1</v>
      </c>
      <c r="X322" s="1"/>
      <c r="Y322" s="1"/>
      <c r="Z322" s="1"/>
    </row>
    <row r="323" spans="1:26" ht="18.600000000000001" hidden="1" x14ac:dyDescent="0.25">
      <c r="A323" s="321" t="s">
        <v>563</v>
      </c>
      <c r="B323" s="321" t="s">
        <v>106</v>
      </c>
      <c r="C323" s="318" t="s">
        <v>44</v>
      </c>
      <c r="D323">
        <v>22020</v>
      </c>
      <c r="E323" s="143">
        <v>80000</v>
      </c>
      <c r="F323" s="117">
        <v>1404</v>
      </c>
      <c r="G323" s="321" t="s">
        <v>311</v>
      </c>
      <c r="H323" s="144">
        <f>bargiri[[#This Row],[میزان بارگیری شده]]*bargiri[[#This Row],[فی]]</f>
        <v>1761600000</v>
      </c>
      <c r="I323" s="321">
        <f>IF(year=bargiri[[#This Row],[سال]],1,0)</f>
        <v>1</v>
      </c>
      <c r="X323" s="1"/>
      <c r="Y323" s="1"/>
      <c r="Z323" s="1"/>
    </row>
    <row r="324" spans="1:26" ht="18.600000000000001" hidden="1" x14ac:dyDescent="0.25">
      <c r="A324" s="321" t="s">
        <v>563</v>
      </c>
      <c r="B324" s="321" t="s">
        <v>116</v>
      </c>
      <c r="C324" s="318" t="s">
        <v>77</v>
      </c>
      <c r="D324">
        <v>8125</v>
      </c>
      <c r="E324" s="143">
        <v>68500</v>
      </c>
      <c r="F324" s="117">
        <v>1404</v>
      </c>
      <c r="G324" s="321" t="s">
        <v>311</v>
      </c>
      <c r="H324" s="144">
        <f>bargiri[[#This Row],[میزان بارگیری شده]]*bargiri[[#This Row],[فی]]</f>
        <v>556562500</v>
      </c>
      <c r="I324" s="321">
        <f>IF(year=bargiri[[#This Row],[سال]],1,0)</f>
        <v>1</v>
      </c>
      <c r="X324" s="1"/>
      <c r="Y324" s="1"/>
      <c r="Z324" s="1"/>
    </row>
    <row r="325" spans="1:26" ht="18.600000000000001" hidden="1" x14ac:dyDescent="0.25">
      <c r="A325" s="321" t="s">
        <v>563</v>
      </c>
      <c r="B325" s="321" t="s">
        <v>114</v>
      </c>
      <c r="C325" s="318" t="s">
        <v>62</v>
      </c>
      <c r="D325">
        <v>20945</v>
      </c>
      <c r="E325" s="143">
        <v>75000</v>
      </c>
      <c r="F325" s="117">
        <v>1404</v>
      </c>
      <c r="G325" s="321" t="s">
        <v>311</v>
      </c>
      <c r="H325" s="144">
        <f>bargiri[[#This Row],[میزان بارگیری شده]]*bargiri[[#This Row],[فی]]</f>
        <v>1570875000</v>
      </c>
      <c r="I325" s="321">
        <f>IF(year=bargiri[[#This Row],[سال]],1,0)</f>
        <v>1</v>
      </c>
      <c r="X325" s="1"/>
      <c r="Y325" s="1"/>
      <c r="Z325" s="1"/>
    </row>
    <row r="326" spans="1:26" ht="18.600000000000001" hidden="1" x14ac:dyDescent="0.25">
      <c r="A326" s="321" t="s">
        <v>555</v>
      </c>
      <c r="B326" s="321" t="s">
        <v>102</v>
      </c>
      <c r="C326" s="318" t="s">
        <v>24</v>
      </c>
      <c r="D326">
        <v>11545</v>
      </c>
      <c r="E326" s="143">
        <v>70000</v>
      </c>
      <c r="F326" s="117">
        <v>1404</v>
      </c>
      <c r="G326" s="321" t="s">
        <v>311</v>
      </c>
      <c r="H326" s="144">
        <f>bargiri[[#This Row],[میزان بارگیری شده]]*bargiri[[#This Row],[فی]]</f>
        <v>808150000</v>
      </c>
      <c r="I326" s="321">
        <f>IF(year=bargiri[[#This Row],[سال]],1,0)</f>
        <v>1</v>
      </c>
      <c r="X326" s="1"/>
      <c r="Y326" s="1"/>
      <c r="Z326" s="1"/>
    </row>
    <row r="327" spans="1:26" ht="18.600000000000001" hidden="1" x14ac:dyDescent="0.25">
      <c r="A327" s="321" t="s">
        <v>556</v>
      </c>
      <c r="B327" s="321" t="s">
        <v>103</v>
      </c>
      <c r="C327" s="318" t="s">
        <v>29</v>
      </c>
      <c r="D327">
        <v>7280</v>
      </c>
      <c r="E327" s="143">
        <v>75000</v>
      </c>
      <c r="F327" s="117">
        <v>1404</v>
      </c>
      <c r="G327" s="321" t="s">
        <v>311</v>
      </c>
      <c r="H327" s="144">
        <f>bargiri[[#This Row],[میزان بارگیری شده]]*bargiri[[#This Row],[فی]]</f>
        <v>546000000</v>
      </c>
      <c r="I327" s="321">
        <f>IF(year=bargiri[[#This Row],[سال]],1,0)</f>
        <v>1</v>
      </c>
      <c r="X327" s="1"/>
      <c r="Y327" s="1"/>
      <c r="Z327" s="1"/>
    </row>
    <row r="328" spans="1:26" ht="18.600000000000001" hidden="1" x14ac:dyDescent="0.25">
      <c r="A328" s="321" t="s">
        <v>556</v>
      </c>
      <c r="B328" s="321" t="s">
        <v>102</v>
      </c>
      <c r="C328" s="318" t="s">
        <v>24</v>
      </c>
      <c r="D328">
        <v>11620</v>
      </c>
      <c r="E328" s="143">
        <v>70000</v>
      </c>
      <c r="F328" s="117">
        <v>1404</v>
      </c>
      <c r="G328" s="321" t="s">
        <v>311</v>
      </c>
      <c r="H328" s="144">
        <f>bargiri[[#This Row],[میزان بارگیری شده]]*bargiri[[#This Row],[فی]]</f>
        <v>813400000</v>
      </c>
      <c r="I328" s="321">
        <f>IF(year=bargiri[[#This Row],[سال]],1,0)</f>
        <v>1</v>
      </c>
      <c r="X328" s="1"/>
      <c r="Y328" s="1"/>
      <c r="Z328" s="1"/>
    </row>
    <row r="329" spans="1:26" ht="18.600000000000001" hidden="1" x14ac:dyDescent="0.25">
      <c r="A329" s="321" t="s">
        <v>556</v>
      </c>
      <c r="B329" s="321" t="s">
        <v>98</v>
      </c>
      <c r="C329" s="318" t="s">
        <v>548</v>
      </c>
      <c r="D329">
        <v>22025</v>
      </c>
      <c r="E329" s="143">
        <v>80000</v>
      </c>
      <c r="F329" s="117">
        <v>1404</v>
      </c>
      <c r="G329" s="321" t="s">
        <v>311</v>
      </c>
      <c r="H329" s="144">
        <f>bargiri[[#This Row],[میزان بارگیری شده]]*bargiri[[#This Row],[فی]]</f>
        <v>1762000000</v>
      </c>
      <c r="I329" s="321">
        <f>IF(year=bargiri[[#This Row],[سال]],1,0)</f>
        <v>1</v>
      </c>
      <c r="X329" s="1"/>
      <c r="Y329" s="1"/>
      <c r="Z329" s="1"/>
    </row>
    <row r="330" spans="1:26" ht="18.600000000000001" hidden="1" x14ac:dyDescent="0.25">
      <c r="A330" s="321" t="s">
        <v>556</v>
      </c>
      <c r="B330" s="321" t="s">
        <v>100</v>
      </c>
      <c r="C330" s="318" t="s">
        <v>561</v>
      </c>
      <c r="D330">
        <v>10045</v>
      </c>
      <c r="E330" s="143">
        <v>142000</v>
      </c>
      <c r="F330" s="117">
        <v>1404</v>
      </c>
      <c r="G330" s="321" t="s">
        <v>311</v>
      </c>
      <c r="H330" s="144">
        <f>bargiri[[#This Row],[میزان بارگیری شده]]*bargiri[[#This Row],[فی]]</f>
        <v>1426390000</v>
      </c>
      <c r="I330" s="321">
        <f>IF(year=bargiri[[#This Row],[سال]],1,0)</f>
        <v>1</v>
      </c>
      <c r="X330" s="1"/>
      <c r="Y330" s="1"/>
      <c r="Z330" s="1"/>
    </row>
    <row r="331" spans="1:26" ht="18.600000000000001" hidden="1" x14ac:dyDescent="0.25">
      <c r="A331" s="321" t="s">
        <v>556</v>
      </c>
      <c r="B331" s="321" t="s">
        <v>103</v>
      </c>
      <c r="C331" s="318" t="s">
        <v>29</v>
      </c>
      <c r="D331">
        <v>7230</v>
      </c>
      <c r="E331" s="143">
        <v>75000</v>
      </c>
      <c r="F331" s="117">
        <v>1404</v>
      </c>
      <c r="G331" s="321" t="s">
        <v>311</v>
      </c>
      <c r="H331" s="144">
        <f>bargiri[[#This Row],[میزان بارگیری شده]]*bargiri[[#This Row],[فی]]</f>
        <v>542250000</v>
      </c>
      <c r="I331" s="321">
        <f>IF(year=bargiri[[#This Row],[سال]],1,0)</f>
        <v>1</v>
      </c>
      <c r="X331" s="1"/>
      <c r="Y331" s="1"/>
      <c r="Z331" s="1"/>
    </row>
    <row r="332" spans="1:26" ht="18.600000000000001" hidden="1" x14ac:dyDescent="0.25">
      <c r="A332" s="321" t="s">
        <v>556</v>
      </c>
      <c r="B332" s="321" t="s">
        <v>113</v>
      </c>
      <c r="C332" s="318" t="s">
        <v>61</v>
      </c>
      <c r="D332">
        <v>17985</v>
      </c>
      <c r="E332" s="143">
        <v>75000</v>
      </c>
      <c r="F332" s="117">
        <v>1404</v>
      </c>
      <c r="G332" s="321" t="s">
        <v>311</v>
      </c>
      <c r="H332" s="144">
        <f>bargiri[[#This Row],[میزان بارگیری شده]]*bargiri[[#This Row],[فی]]</f>
        <v>1348875000</v>
      </c>
      <c r="I332" s="321">
        <f>IF(year=bargiri[[#This Row],[سال]],1,0)</f>
        <v>1</v>
      </c>
      <c r="X332" s="1"/>
      <c r="Y332" s="1"/>
      <c r="Z332" s="1"/>
    </row>
    <row r="333" spans="1:26" ht="18.600000000000001" x14ac:dyDescent="0.25">
      <c r="A333" s="321" t="s">
        <v>557</v>
      </c>
      <c r="B333" s="321" t="s">
        <v>118</v>
      </c>
      <c r="C333" s="318" t="s">
        <v>84</v>
      </c>
      <c r="D333">
        <v>20410</v>
      </c>
      <c r="E333" s="143">
        <v>57273</v>
      </c>
      <c r="F333" s="117">
        <v>1404</v>
      </c>
      <c r="G333" s="321" t="s">
        <v>305</v>
      </c>
      <c r="H333" s="144">
        <f>bargiri[[#This Row],[میزان بارگیری شده]]*bargiri[[#This Row],[فی]]</f>
        <v>1168941930</v>
      </c>
      <c r="I333" s="321">
        <f>IF(year=bargiri[[#This Row],[سال]],1,0)</f>
        <v>1</v>
      </c>
      <c r="X333" s="1"/>
      <c r="Y333" s="1"/>
      <c r="Z333" s="1"/>
    </row>
    <row r="334" spans="1:26" ht="18.600000000000001" hidden="1" x14ac:dyDescent="0.25">
      <c r="A334" s="321" t="s">
        <v>557</v>
      </c>
      <c r="B334" s="321" t="s">
        <v>116</v>
      </c>
      <c r="C334" s="318" t="s">
        <v>77</v>
      </c>
      <c r="D334">
        <v>19960</v>
      </c>
      <c r="E334" s="143">
        <v>68500</v>
      </c>
      <c r="F334" s="117">
        <v>1404</v>
      </c>
      <c r="G334" s="321" t="s">
        <v>305</v>
      </c>
      <c r="H334" s="144">
        <f>bargiri[[#This Row],[میزان بارگیری شده]]*bargiri[[#This Row],[فی]]</f>
        <v>1367260000</v>
      </c>
      <c r="I334" s="321">
        <f>IF(year=bargiri[[#This Row],[سال]],1,0)</f>
        <v>1</v>
      </c>
      <c r="X334" s="1"/>
      <c r="Y334" s="1"/>
      <c r="Z334" s="1"/>
    </row>
    <row r="335" spans="1:26" ht="18.600000000000001" hidden="1" x14ac:dyDescent="0.25">
      <c r="A335" s="321" t="s">
        <v>557</v>
      </c>
      <c r="B335" s="321" t="s">
        <v>116</v>
      </c>
      <c r="C335" s="318" t="s">
        <v>77</v>
      </c>
      <c r="D335">
        <v>8015</v>
      </c>
      <c r="E335" s="143">
        <v>68500</v>
      </c>
      <c r="F335" s="117">
        <v>1404</v>
      </c>
      <c r="G335" s="321" t="s">
        <v>305</v>
      </c>
      <c r="H335" s="144">
        <f>bargiri[[#This Row],[میزان بارگیری شده]]*bargiri[[#This Row],[فی]]</f>
        <v>549027500</v>
      </c>
      <c r="I335" s="321">
        <f>IF(year=bargiri[[#This Row],[سال]],1,0)</f>
        <v>1</v>
      </c>
      <c r="X335" s="1"/>
      <c r="Y335" s="1"/>
      <c r="Z335" s="1"/>
    </row>
    <row r="336" spans="1:26" ht="18.600000000000001" hidden="1" x14ac:dyDescent="0.25">
      <c r="A336" s="321" t="s">
        <v>557</v>
      </c>
      <c r="B336" s="321" t="s">
        <v>116</v>
      </c>
      <c r="C336" s="318" t="s">
        <v>77</v>
      </c>
      <c r="D336">
        <v>18985</v>
      </c>
      <c r="E336" s="143">
        <v>68500</v>
      </c>
      <c r="F336" s="117">
        <v>1404</v>
      </c>
      <c r="G336" s="321" t="s">
        <v>305</v>
      </c>
      <c r="H336" s="144">
        <f>bargiri[[#This Row],[میزان بارگیری شده]]*bargiri[[#This Row],[فی]]</f>
        <v>1300472500</v>
      </c>
      <c r="I336" s="321">
        <f>IF(year=bargiri[[#This Row],[سال]],1,0)</f>
        <v>1</v>
      </c>
      <c r="X336" s="1"/>
      <c r="Y336" s="1"/>
      <c r="Z336" s="1"/>
    </row>
    <row r="337" spans="1:26" ht="18.600000000000001" x14ac:dyDescent="0.25">
      <c r="A337" s="321" t="s">
        <v>557</v>
      </c>
      <c r="B337" s="321" t="s">
        <v>118</v>
      </c>
      <c r="C337" s="318" t="s">
        <v>84</v>
      </c>
      <c r="D337">
        <v>20565</v>
      </c>
      <c r="E337" s="143">
        <v>57273</v>
      </c>
      <c r="F337" s="117">
        <v>1404</v>
      </c>
      <c r="G337" s="321" t="s">
        <v>305</v>
      </c>
      <c r="H337" s="144">
        <f>bargiri[[#This Row],[میزان بارگیری شده]]*bargiri[[#This Row],[فی]]</f>
        <v>1177819245</v>
      </c>
      <c r="I337" s="321">
        <f>IF(year=bargiri[[#This Row],[سال]],1,0)</f>
        <v>1</v>
      </c>
      <c r="X337" s="1"/>
      <c r="Y337" s="1"/>
      <c r="Z337" s="1"/>
    </row>
    <row r="338" spans="1:26" ht="18.600000000000001" hidden="1" x14ac:dyDescent="0.25">
      <c r="A338" s="321" t="s">
        <v>557</v>
      </c>
      <c r="B338" s="321" t="s">
        <v>116</v>
      </c>
      <c r="C338" s="318" t="s">
        <v>77</v>
      </c>
      <c r="D338">
        <v>19990</v>
      </c>
      <c r="E338" s="143">
        <v>68500</v>
      </c>
      <c r="F338" s="117">
        <v>1404</v>
      </c>
      <c r="G338" s="321" t="s">
        <v>305</v>
      </c>
      <c r="H338" s="144">
        <f>bargiri[[#This Row],[میزان بارگیری شده]]*bargiri[[#This Row],[فی]]</f>
        <v>1369315000</v>
      </c>
      <c r="I338" s="321">
        <f>IF(year=bargiri[[#This Row],[سال]],1,0)</f>
        <v>1</v>
      </c>
      <c r="X338" s="1"/>
      <c r="Y338" s="1"/>
      <c r="Z338" s="1"/>
    </row>
    <row r="339" spans="1:26" ht="18.600000000000001" hidden="1" x14ac:dyDescent="0.25">
      <c r="A339" s="321" t="s">
        <v>553</v>
      </c>
      <c r="B339" s="321" t="s">
        <v>120</v>
      </c>
      <c r="C339" s="318" t="s">
        <v>88</v>
      </c>
      <c r="D339">
        <v>9140</v>
      </c>
      <c r="E339" s="143">
        <v>80000</v>
      </c>
      <c r="F339" s="117">
        <v>1404</v>
      </c>
      <c r="G339" s="321" t="s">
        <v>305</v>
      </c>
      <c r="H339" s="144">
        <f>bargiri[[#This Row],[میزان بارگیری شده]]*bargiri[[#This Row],[فی]]</f>
        <v>731200000</v>
      </c>
      <c r="I339" s="321">
        <f>IF(year=bargiri[[#This Row],[سال]],1,0)</f>
        <v>1</v>
      </c>
      <c r="X339" s="1"/>
      <c r="Y339" s="1"/>
      <c r="Z339" s="1"/>
    </row>
    <row r="340" spans="1:26" ht="18.600000000000001" hidden="1" x14ac:dyDescent="0.25">
      <c r="A340" s="321" t="s">
        <v>553</v>
      </c>
      <c r="B340" s="321" t="s">
        <v>113</v>
      </c>
      <c r="C340" s="318" t="s">
        <v>61</v>
      </c>
      <c r="D340">
        <v>10160</v>
      </c>
      <c r="E340" s="143">
        <v>75000</v>
      </c>
      <c r="F340" s="117">
        <v>1404</v>
      </c>
      <c r="G340" s="321" t="s">
        <v>305</v>
      </c>
      <c r="H340" s="144">
        <f>bargiri[[#This Row],[میزان بارگیری شده]]*bargiri[[#This Row],[فی]]</f>
        <v>762000000</v>
      </c>
      <c r="I340" s="321">
        <f>IF(year=bargiri[[#This Row],[سال]],1,0)</f>
        <v>1</v>
      </c>
      <c r="X340" s="1"/>
      <c r="Y340" s="1"/>
      <c r="Z340" s="1"/>
    </row>
    <row r="341" spans="1:26" ht="18.600000000000001" hidden="1" x14ac:dyDescent="0.25">
      <c r="A341" s="321" t="s">
        <v>553</v>
      </c>
      <c r="B341" s="321" t="s">
        <v>101</v>
      </c>
      <c r="C341" s="318" t="s">
        <v>19</v>
      </c>
      <c r="D341">
        <v>20105</v>
      </c>
      <c r="E341" s="143">
        <v>75000</v>
      </c>
      <c r="F341" s="117">
        <v>1404</v>
      </c>
      <c r="G341" s="321" t="s">
        <v>305</v>
      </c>
      <c r="H341" s="144">
        <f>bargiri[[#This Row],[میزان بارگیری شده]]*bargiri[[#This Row],[فی]]</f>
        <v>1507875000</v>
      </c>
      <c r="I341" s="321">
        <f>IF(year=bargiri[[#This Row],[سال]],1,0)</f>
        <v>1</v>
      </c>
      <c r="X341" s="1"/>
      <c r="Y341" s="1"/>
      <c r="Z341" s="1"/>
    </row>
    <row r="342" spans="1:26" ht="18.600000000000001" hidden="1" x14ac:dyDescent="0.25">
      <c r="A342" s="321" t="s">
        <v>553</v>
      </c>
      <c r="B342" s="321" t="s">
        <v>104</v>
      </c>
      <c r="C342" s="318" t="s">
        <v>39</v>
      </c>
      <c r="D342">
        <v>12590</v>
      </c>
      <c r="E342" s="143">
        <v>65000</v>
      </c>
      <c r="F342" s="117">
        <v>1404</v>
      </c>
      <c r="G342" s="321" t="s">
        <v>305</v>
      </c>
      <c r="H342" s="144">
        <f>bargiri[[#This Row],[میزان بارگیری شده]]*bargiri[[#This Row],[فی]]</f>
        <v>818350000</v>
      </c>
      <c r="I342" s="321">
        <f>IF(year=bargiri[[#This Row],[سال]],1,0)</f>
        <v>1</v>
      </c>
      <c r="X342" s="1"/>
      <c r="Y342" s="1"/>
      <c r="Z342" s="1"/>
    </row>
    <row r="343" spans="1:26" ht="18.600000000000001" hidden="1" x14ac:dyDescent="0.25">
      <c r="A343" s="321" t="s">
        <v>553</v>
      </c>
      <c r="B343" s="321" t="s">
        <v>104</v>
      </c>
      <c r="C343" s="318" t="s">
        <v>38</v>
      </c>
      <c r="D343">
        <v>5325</v>
      </c>
      <c r="E343" s="143">
        <v>83800</v>
      </c>
      <c r="F343" s="117">
        <v>1404</v>
      </c>
      <c r="G343" s="321" t="s">
        <v>305</v>
      </c>
      <c r="H343" s="144">
        <f>bargiri[[#This Row],[میزان بارگیری شده]]*bargiri[[#This Row],[فی]]</f>
        <v>446235000</v>
      </c>
      <c r="I343" s="321">
        <f>IF(year=bargiri[[#This Row],[سال]],1,0)</f>
        <v>1</v>
      </c>
      <c r="X343" s="1"/>
      <c r="Y343" s="1"/>
      <c r="Z343" s="1"/>
    </row>
    <row r="344" spans="1:26" ht="18.600000000000001" hidden="1" x14ac:dyDescent="0.25">
      <c r="A344" s="321" t="s">
        <v>554</v>
      </c>
      <c r="B344" s="321" t="s">
        <v>120</v>
      </c>
      <c r="C344" s="318" t="s">
        <v>88</v>
      </c>
      <c r="D344">
        <v>9055</v>
      </c>
      <c r="E344" s="143">
        <v>80000</v>
      </c>
      <c r="F344" s="117">
        <v>1404</v>
      </c>
      <c r="G344" s="321" t="s">
        <v>305</v>
      </c>
      <c r="H344" s="144">
        <f>bargiri[[#This Row],[میزان بارگیری شده]]*bargiri[[#This Row],[فی]]</f>
        <v>724400000</v>
      </c>
      <c r="I344" s="321">
        <f>IF(year=bargiri[[#This Row],[سال]],1,0)</f>
        <v>1</v>
      </c>
      <c r="X344" s="1"/>
      <c r="Y344" s="1"/>
      <c r="Z344" s="1"/>
    </row>
    <row r="345" spans="1:26" ht="18.600000000000001" x14ac:dyDescent="0.25">
      <c r="A345" s="321" t="s">
        <v>554</v>
      </c>
      <c r="B345" s="321" t="s">
        <v>118</v>
      </c>
      <c r="C345" s="318" t="s">
        <v>84</v>
      </c>
      <c r="D345">
        <v>20500</v>
      </c>
      <c r="E345" s="143">
        <v>57273</v>
      </c>
      <c r="F345" s="117">
        <v>1404</v>
      </c>
      <c r="G345" s="321" t="s">
        <v>305</v>
      </c>
      <c r="H345" s="144">
        <f>bargiri[[#This Row],[میزان بارگیری شده]]*bargiri[[#This Row],[فی]]</f>
        <v>1174096500</v>
      </c>
      <c r="I345" s="321">
        <f>IF(year=bargiri[[#This Row],[سال]],1,0)</f>
        <v>1</v>
      </c>
      <c r="X345" s="1"/>
      <c r="Y345" s="1"/>
      <c r="Z345" s="1"/>
    </row>
    <row r="346" spans="1:26" ht="18.600000000000001" x14ac:dyDescent="0.25">
      <c r="A346" s="321" t="s">
        <v>554</v>
      </c>
      <c r="B346" s="321" t="s">
        <v>118</v>
      </c>
      <c r="C346" s="318" t="s">
        <v>84</v>
      </c>
      <c r="D346">
        <v>20455</v>
      </c>
      <c r="E346" s="143">
        <v>57273</v>
      </c>
      <c r="F346" s="117">
        <v>1404</v>
      </c>
      <c r="G346" s="321" t="s">
        <v>305</v>
      </c>
      <c r="H346" s="144">
        <f>bargiri[[#This Row],[میزان بارگیری شده]]*bargiri[[#This Row],[فی]]</f>
        <v>1171519215</v>
      </c>
      <c r="I346" s="321">
        <f>IF(year=bargiri[[#This Row],[سال]],1,0)</f>
        <v>1</v>
      </c>
      <c r="X346" s="1"/>
      <c r="Y346" s="1"/>
      <c r="Z346" s="1"/>
    </row>
    <row r="347" spans="1:26" ht="18.600000000000001" hidden="1" x14ac:dyDescent="0.25">
      <c r="A347" s="321" t="s">
        <v>554</v>
      </c>
      <c r="B347" s="321" t="s">
        <v>107</v>
      </c>
      <c r="C347" s="318" t="s">
        <v>50</v>
      </c>
      <c r="D347">
        <v>19000</v>
      </c>
      <c r="E347" s="143">
        <v>70000</v>
      </c>
      <c r="F347" s="117">
        <v>1404</v>
      </c>
      <c r="G347" s="321" t="s">
        <v>305</v>
      </c>
      <c r="H347" s="144">
        <f>bargiri[[#This Row],[میزان بارگیری شده]]*bargiri[[#This Row],[فی]]</f>
        <v>1330000000</v>
      </c>
      <c r="I347" s="321">
        <f>IF(year=bargiri[[#This Row],[سال]],1,0)</f>
        <v>1</v>
      </c>
      <c r="X347" s="1"/>
      <c r="Y347" s="1"/>
      <c r="Z347" s="1"/>
    </row>
    <row r="348" spans="1:26" ht="18.600000000000001" hidden="1" x14ac:dyDescent="0.25">
      <c r="A348" s="321" t="s">
        <v>554</v>
      </c>
      <c r="B348" s="321" t="s">
        <v>117</v>
      </c>
      <c r="C348" s="318" t="s">
        <v>79</v>
      </c>
      <c r="D348">
        <v>20005</v>
      </c>
      <c r="E348" s="143">
        <v>75000</v>
      </c>
      <c r="F348" s="117">
        <v>1404</v>
      </c>
      <c r="G348" s="321" t="s">
        <v>305</v>
      </c>
      <c r="H348" s="144">
        <f>bargiri[[#This Row],[میزان بارگیری شده]]*bargiri[[#This Row],[فی]]</f>
        <v>1500375000</v>
      </c>
      <c r="I348" s="321">
        <f>IF(year=bargiri[[#This Row],[سال]],1,0)</f>
        <v>1</v>
      </c>
      <c r="X348" s="1"/>
      <c r="Y348" s="1"/>
      <c r="Z348" s="1"/>
    </row>
    <row r="349" spans="1:26" ht="18.600000000000001" hidden="1" x14ac:dyDescent="0.25">
      <c r="A349" s="321" t="s">
        <v>554</v>
      </c>
      <c r="B349" s="321" t="s">
        <v>116</v>
      </c>
      <c r="C349" s="318" t="s">
        <v>77</v>
      </c>
      <c r="D349">
        <v>18990</v>
      </c>
      <c r="E349" s="143">
        <v>68500</v>
      </c>
      <c r="F349" s="117">
        <v>1404</v>
      </c>
      <c r="G349" s="321" t="s">
        <v>305</v>
      </c>
      <c r="H349" s="144">
        <f>bargiri[[#This Row],[میزان بارگیری شده]]*bargiri[[#This Row],[فی]]</f>
        <v>1300815000</v>
      </c>
      <c r="I349" s="321">
        <f>IF(year=bargiri[[#This Row],[سال]],1,0)</f>
        <v>1</v>
      </c>
      <c r="X349" s="1"/>
      <c r="Y349" s="1"/>
      <c r="Z349" s="1"/>
    </row>
    <row r="350" spans="1:26" ht="18.600000000000001" hidden="1" x14ac:dyDescent="0.25">
      <c r="A350" s="321" t="s">
        <v>552</v>
      </c>
      <c r="B350" s="321" t="s">
        <v>104</v>
      </c>
      <c r="C350" s="318" t="s">
        <v>39</v>
      </c>
      <c r="D350">
        <v>17965</v>
      </c>
      <c r="E350" s="143">
        <v>65000</v>
      </c>
      <c r="F350" s="117">
        <v>1404</v>
      </c>
      <c r="G350" s="321" t="s">
        <v>305</v>
      </c>
      <c r="H350" s="144">
        <f>bargiri[[#This Row],[میزان بارگیری شده]]*bargiri[[#This Row],[فی]]</f>
        <v>1167725000</v>
      </c>
      <c r="I350" s="321">
        <f>IF(year=bargiri[[#This Row],[سال]],1,0)</f>
        <v>1</v>
      </c>
      <c r="X350" s="1"/>
      <c r="Y350" s="1"/>
      <c r="Z350" s="1"/>
    </row>
    <row r="351" spans="1:26" ht="18.600000000000001" hidden="1" x14ac:dyDescent="0.25">
      <c r="A351" s="321" t="s">
        <v>552</v>
      </c>
      <c r="B351" s="321" t="s">
        <v>103</v>
      </c>
      <c r="C351" s="318" t="s">
        <v>29</v>
      </c>
      <c r="D351">
        <v>7475</v>
      </c>
      <c r="E351" s="143">
        <v>75000</v>
      </c>
      <c r="F351" s="117">
        <v>1404</v>
      </c>
      <c r="G351" s="321" t="s">
        <v>305</v>
      </c>
      <c r="H351" s="144">
        <f>bargiri[[#This Row],[میزان بارگیری شده]]*bargiri[[#This Row],[فی]]</f>
        <v>560625000</v>
      </c>
      <c r="I351" s="321">
        <f>IF(year=bargiri[[#This Row],[سال]],1,0)</f>
        <v>1</v>
      </c>
      <c r="X351" s="1"/>
      <c r="Y351" s="1"/>
      <c r="Z351" s="1"/>
    </row>
    <row r="352" spans="1:26" ht="18.600000000000001" hidden="1" x14ac:dyDescent="0.25">
      <c r="A352" s="321" t="s">
        <v>552</v>
      </c>
      <c r="B352" s="321" t="s">
        <v>113</v>
      </c>
      <c r="C352" s="318" t="s">
        <v>61</v>
      </c>
      <c r="D352">
        <v>19440</v>
      </c>
      <c r="E352" s="143">
        <v>75000</v>
      </c>
      <c r="F352" s="117">
        <v>1404</v>
      </c>
      <c r="G352" s="321" t="s">
        <v>305</v>
      </c>
      <c r="H352" s="144">
        <f>bargiri[[#This Row],[میزان بارگیری شده]]*bargiri[[#This Row],[فی]]</f>
        <v>1458000000</v>
      </c>
      <c r="I352" s="321">
        <f>IF(year=bargiri[[#This Row],[سال]],1,0)</f>
        <v>1</v>
      </c>
      <c r="X352" s="1"/>
      <c r="Y352" s="1"/>
      <c r="Z352" s="1"/>
    </row>
    <row r="353" spans="1:26" ht="18.600000000000001" x14ac:dyDescent="0.25">
      <c r="A353" s="321" t="s">
        <v>552</v>
      </c>
      <c r="B353" s="321" t="s">
        <v>118</v>
      </c>
      <c r="C353" s="318" t="s">
        <v>84</v>
      </c>
      <c r="D353">
        <v>20300</v>
      </c>
      <c r="E353" s="143">
        <v>57273</v>
      </c>
      <c r="F353" s="117">
        <v>1404</v>
      </c>
      <c r="G353" s="321" t="s">
        <v>305</v>
      </c>
      <c r="H353" s="144">
        <f>bargiri[[#This Row],[میزان بارگیری شده]]*bargiri[[#This Row],[فی]]</f>
        <v>1162641900</v>
      </c>
      <c r="I353" s="321">
        <f>IF(year=bargiri[[#This Row],[سال]],1,0)</f>
        <v>1</v>
      </c>
      <c r="X353" s="1"/>
      <c r="Y353" s="1"/>
      <c r="Z353" s="1"/>
    </row>
    <row r="354" spans="1:26" ht="18.600000000000001" x14ac:dyDescent="0.25">
      <c r="A354" s="321" t="s">
        <v>552</v>
      </c>
      <c r="B354" s="321" t="s">
        <v>118</v>
      </c>
      <c r="C354" s="318" t="s">
        <v>84</v>
      </c>
      <c r="D354">
        <v>20555</v>
      </c>
      <c r="E354" s="143">
        <v>57273</v>
      </c>
      <c r="F354" s="117">
        <v>1404</v>
      </c>
      <c r="G354" s="321" t="s">
        <v>305</v>
      </c>
      <c r="H354" s="144">
        <f>bargiri[[#This Row],[میزان بارگیری شده]]*bargiri[[#This Row],[فی]]</f>
        <v>1177246515</v>
      </c>
      <c r="I354" s="321">
        <f>IF(year=bargiri[[#This Row],[سال]],1,0)</f>
        <v>1</v>
      </c>
      <c r="X354" s="1"/>
      <c r="Y354" s="1"/>
      <c r="Z354" s="1"/>
    </row>
    <row r="355" spans="1:26" ht="18.600000000000001" hidden="1" x14ac:dyDescent="0.25">
      <c r="A355" s="321" t="s">
        <v>552</v>
      </c>
      <c r="B355" s="321" t="s">
        <v>103</v>
      </c>
      <c r="C355" s="318" t="s">
        <v>29</v>
      </c>
      <c r="D355">
        <v>7545</v>
      </c>
      <c r="E355" s="143">
        <v>75000</v>
      </c>
      <c r="F355" s="117">
        <v>1404</v>
      </c>
      <c r="G355" s="321" t="s">
        <v>305</v>
      </c>
      <c r="H355" s="144">
        <f>bargiri[[#This Row],[میزان بارگیری شده]]*bargiri[[#This Row],[فی]]</f>
        <v>565875000</v>
      </c>
      <c r="I355" s="321">
        <f>IF(year=bargiri[[#This Row],[سال]],1,0)</f>
        <v>1</v>
      </c>
      <c r="X355" s="1"/>
      <c r="Y355" s="1"/>
      <c r="Z355" s="1"/>
    </row>
    <row r="356" spans="1:26" ht="18.600000000000001" hidden="1" x14ac:dyDescent="0.25">
      <c r="A356" s="321" t="s">
        <v>551</v>
      </c>
      <c r="B356" s="321" t="s">
        <v>102</v>
      </c>
      <c r="C356" s="318" t="s">
        <v>24</v>
      </c>
      <c r="D356">
        <v>11475</v>
      </c>
      <c r="E356" s="143">
        <v>70000</v>
      </c>
      <c r="F356" s="117">
        <v>1404</v>
      </c>
      <c r="G356" s="321" t="s">
        <v>305</v>
      </c>
      <c r="H356" s="144">
        <f>bargiri[[#This Row],[میزان بارگیری شده]]*bargiri[[#This Row],[فی]]</f>
        <v>803250000</v>
      </c>
      <c r="I356" s="321">
        <f>IF(year=bargiri[[#This Row],[سال]],1,0)</f>
        <v>1</v>
      </c>
      <c r="X356" s="1"/>
      <c r="Y356" s="1"/>
      <c r="Z356" s="1"/>
    </row>
    <row r="357" spans="1:26" ht="18.600000000000001" hidden="1" x14ac:dyDescent="0.25">
      <c r="A357" s="321" t="s">
        <v>551</v>
      </c>
      <c r="B357" s="321" t="s">
        <v>103</v>
      </c>
      <c r="C357" s="318" t="s">
        <v>29</v>
      </c>
      <c r="D357">
        <v>7330</v>
      </c>
      <c r="E357" s="143">
        <v>75000</v>
      </c>
      <c r="F357" s="117">
        <v>1404</v>
      </c>
      <c r="G357" s="321" t="s">
        <v>305</v>
      </c>
      <c r="H357" s="144">
        <f>bargiri[[#This Row],[میزان بارگیری شده]]*bargiri[[#This Row],[فی]]</f>
        <v>549750000</v>
      </c>
      <c r="I357" s="321">
        <f>IF(year=bargiri[[#This Row],[سال]],1,0)</f>
        <v>1</v>
      </c>
      <c r="X357" s="1"/>
      <c r="Y357" s="1"/>
      <c r="Z357" s="1"/>
    </row>
    <row r="358" spans="1:26" ht="18.600000000000001" hidden="1" x14ac:dyDescent="0.25">
      <c r="A358" s="321" t="s">
        <v>551</v>
      </c>
      <c r="B358" s="321" t="s">
        <v>107</v>
      </c>
      <c r="C358" s="318" t="s">
        <v>50</v>
      </c>
      <c r="D358">
        <v>19110</v>
      </c>
      <c r="E358" s="143">
        <v>70000</v>
      </c>
      <c r="F358" s="117">
        <v>1404</v>
      </c>
      <c r="G358" s="321" t="s">
        <v>305</v>
      </c>
      <c r="H358" s="144">
        <f>bargiri[[#This Row],[میزان بارگیری شده]]*bargiri[[#This Row],[فی]]</f>
        <v>1337700000</v>
      </c>
      <c r="I358" s="321">
        <f>IF(year=bargiri[[#This Row],[سال]],1,0)</f>
        <v>1</v>
      </c>
      <c r="X358" s="1"/>
      <c r="Y358" s="1"/>
      <c r="Z358" s="1"/>
    </row>
    <row r="359" spans="1:26" ht="18.600000000000001" hidden="1" x14ac:dyDescent="0.25">
      <c r="A359" s="321" t="s">
        <v>551</v>
      </c>
      <c r="B359" s="321" t="s">
        <v>123</v>
      </c>
      <c r="C359" s="318" t="s">
        <v>536</v>
      </c>
      <c r="D359">
        <v>7765</v>
      </c>
      <c r="E359" s="143">
        <v>100000</v>
      </c>
      <c r="F359" s="117">
        <v>1404</v>
      </c>
      <c r="G359" s="321" t="s">
        <v>305</v>
      </c>
      <c r="H359" s="144">
        <f>bargiri[[#This Row],[میزان بارگیری شده]]*bargiri[[#This Row],[فی]]</f>
        <v>776500000</v>
      </c>
      <c r="I359" s="321">
        <f>IF(year=bargiri[[#This Row],[سال]],1,0)</f>
        <v>1</v>
      </c>
      <c r="X359" s="1"/>
      <c r="Y359" s="1"/>
      <c r="Z359" s="1"/>
    </row>
    <row r="360" spans="1:26" ht="18.600000000000001" hidden="1" x14ac:dyDescent="0.25">
      <c r="A360" s="321" t="s">
        <v>551</v>
      </c>
      <c r="B360" s="321" t="s">
        <v>114</v>
      </c>
      <c r="C360" s="318" t="s">
        <v>62</v>
      </c>
      <c r="D360">
        <v>20975</v>
      </c>
      <c r="E360" s="143">
        <v>75000</v>
      </c>
      <c r="F360" s="117">
        <v>1404</v>
      </c>
      <c r="G360" s="321" t="s">
        <v>305</v>
      </c>
      <c r="H360" s="144">
        <f>bargiri[[#This Row],[میزان بارگیری شده]]*bargiri[[#This Row],[فی]]</f>
        <v>1573125000</v>
      </c>
      <c r="I360" s="321">
        <f>IF(year=bargiri[[#This Row],[سال]],1,0)</f>
        <v>1</v>
      </c>
      <c r="X360" s="1"/>
      <c r="Y360" s="1"/>
      <c r="Z360" s="1"/>
    </row>
    <row r="361" spans="1:26" ht="18.600000000000001" hidden="1" x14ac:dyDescent="0.25">
      <c r="A361" s="321" t="s">
        <v>550</v>
      </c>
      <c r="B361" s="321" t="s">
        <v>107</v>
      </c>
      <c r="C361" s="318" t="s">
        <v>50</v>
      </c>
      <c r="D361">
        <v>18355</v>
      </c>
      <c r="E361" s="143">
        <v>70000</v>
      </c>
      <c r="F361" s="117">
        <v>1404</v>
      </c>
      <c r="G361" s="321" t="s">
        <v>305</v>
      </c>
      <c r="H361" s="144">
        <f>bargiri[[#This Row],[میزان بارگیری شده]]*bargiri[[#This Row],[فی]]</f>
        <v>1284850000</v>
      </c>
      <c r="I361" s="321">
        <f>IF(year=bargiri[[#This Row],[سال]],1,0)</f>
        <v>1</v>
      </c>
      <c r="X361" s="1"/>
      <c r="Y361" s="1"/>
      <c r="Z361" s="1"/>
    </row>
    <row r="362" spans="1:26" ht="18.600000000000001" hidden="1" x14ac:dyDescent="0.25">
      <c r="A362" s="321" t="s">
        <v>550</v>
      </c>
      <c r="B362" s="321" t="s">
        <v>100</v>
      </c>
      <c r="C362" s="318" t="s">
        <v>15</v>
      </c>
      <c r="D362">
        <v>19975</v>
      </c>
      <c r="E362" s="143">
        <v>100000</v>
      </c>
      <c r="F362" s="117">
        <v>1404</v>
      </c>
      <c r="G362" s="321" t="s">
        <v>305</v>
      </c>
      <c r="H362" s="144">
        <f>bargiri[[#This Row],[میزان بارگیری شده]]*bargiri[[#This Row],[فی]]</f>
        <v>1997500000</v>
      </c>
      <c r="I362" s="321">
        <f>IF(year=bargiri[[#This Row],[سال]],1,0)</f>
        <v>1</v>
      </c>
      <c r="X362" s="1"/>
      <c r="Y362" s="1"/>
      <c r="Z362" s="1"/>
    </row>
    <row r="363" spans="1:26" ht="18.600000000000001" hidden="1" x14ac:dyDescent="0.25">
      <c r="A363" s="321" t="s">
        <v>550</v>
      </c>
      <c r="B363" s="321" t="s">
        <v>102</v>
      </c>
      <c r="C363" s="318" t="s">
        <v>24</v>
      </c>
      <c r="D363">
        <v>11860</v>
      </c>
      <c r="E363" s="143">
        <v>70000</v>
      </c>
      <c r="F363" s="117">
        <v>1404</v>
      </c>
      <c r="G363" s="321" t="s">
        <v>305</v>
      </c>
      <c r="H363" s="144">
        <f>bargiri[[#This Row],[میزان بارگیری شده]]*bargiri[[#This Row],[فی]]</f>
        <v>830200000</v>
      </c>
      <c r="I363" s="321">
        <f>IF(year=bargiri[[#This Row],[سال]],1,0)</f>
        <v>1</v>
      </c>
      <c r="X363" s="1"/>
      <c r="Y363" s="1"/>
      <c r="Z363" s="1"/>
    </row>
    <row r="364" spans="1:26" ht="18.600000000000001" hidden="1" x14ac:dyDescent="0.25">
      <c r="A364" s="321" t="s">
        <v>550</v>
      </c>
      <c r="B364" s="321" t="s">
        <v>122</v>
      </c>
      <c r="C364" s="318" t="s">
        <v>91</v>
      </c>
      <c r="D364">
        <v>19960</v>
      </c>
      <c r="E364" s="143">
        <v>75000</v>
      </c>
      <c r="F364" s="117">
        <v>1404</v>
      </c>
      <c r="G364" s="321" t="s">
        <v>305</v>
      </c>
      <c r="H364" s="144">
        <f>bargiri[[#This Row],[میزان بارگیری شده]]*bargiri[[#This Row],[فی]]</f>
        <v>1497000000</v>
      </c>
      <c r="I364" s="321">
        <f>IF(year=bargiri[[#This Row],[سال]],1,0)</f>
        <v>1</v>
      </c>
      <c r="X364" s="1"/>
      <c r="Y364" s="1"/>
      <c r="Z364" s="1"/>
    </row>
    <row r="365" spans="1:26" ht="18.600000000000001" hidden="1" x14ac:dyDescent="0.25">
      <c r="A365" s="321" t="s">
        <v>550</v>
      </c>
      <c r="B365" s="321" t="s">
        <v>117</v>
      </c>
      <c r="C365" s="318" t="s">
        <v>79</v>
      </c>
      <c r="D365">
        <v>20255</v>
      </c>
      <c r="E365" s="143">
        <v>75000</v>
      </c>
      <c r="F365" s="117">
        <v>1404</v>
      </c>
      <c r="G365" s="321" t="s">
        <v>305</v>
      </c>
      <c r="H365" s="144">
        <f>bargiri[[#This Row],[میزان بارگیری شده]]*bargiri[[#This Row],[فی]]</f>
        <v>1519125000</v>
      </c>
      <c r="I365" s="321">
        <f>IF(year=bargiri[[#This Row],[سال]],1,0)</f>
        <v>1</v>
      </c>
      <c r="X365" s="1"/>
      <c r="Y365" s="1"/>
      <c r="Z365" s="1"/>
    </row>
    <row r="366" spans="1:26" ht="18.600000000000001" x14ac:dyDescent="0.25">
      <c r="A366" s="321" t="s">
        <v>550</v>
      </c>
      <c r="B366" s="321" t="s">
        <v>118</v>
      </c>
      <c r="C366" s="318" t="s">
        <v>84</v>
      </c>
      <c r="D366">
        <v>20400</v>
      </c>
      <c r="E366" s="143">
        <v>57273</v>
      </c>
      <c r="F366" s="117">
        <v>1404</v>
      </c>
      <c r="G366" s="321" t="s">
        <v>305</v>
      </c>
      <c r="H366" s="144">
        <f>bargiri[[#This Row],[میزان بارگیری شده]]*bargiri[[#This Row],[فی]]</f>
        <v>1168369200</v>
      </c>
      <c r="I366" s="321">
        <f>IF(year=bargiri[[#This Row],[سال]],1,0)</f>
        <v>1</v>
      </c>
      <c r="X366" s="1"/>
      <c r="Y366" s="1"/>
      <c r="Z366" s="1"/>
    </row>
    <row r="367" spans="1:26" ht="18.600000000000001" x14ac:dyDescent="0.25">
      <c r="A367" s="321" t="s">
        <v>550</v>
      </c>
      <c r="B367" s="321" t="s">
        <v>118</v>
      </c>
      <c r="C367" s="318" t="s">
        <v>84</v>
      </c>
      <c r="D367">
        <v>20585</v>
      </c>
      <c r="E367" s="143">
        <v>57273</v>
      </c>
      <c r="F367" s="117">
        <v>1404</v>
      </c>
      <c r="G367" s="321" t="s">
        <v>305</v>
      </c>
      <c r="H367" s="144">
        <f>bargiri[[#This Row],[میزان بارگیری شده]]*bargiri[[#This Row],[فی]]</f>
        <v>1178964705</v>
      </c>
      <c r="I367" s="321">
        <f>IF(year=bargiri[[#This Row],[سال]],1,0)</f>
        <v>1</v>
      </c>
      <c r="X367" s="1"/>
      <c r="Y367" s="1"/>
      <c r="Z367" s="1"/>
    </row>
    <row r="368" spans="1:26" ht="18.600000000000001" hidden="1" x14ac:dyDescent="0.25">
      <c r="A368" s="321" t="s">
        <v>550</v>
      </c>
      <c r="B368" s="321" t="s">
        <v>113</v>
      </c>
      <c r="C368" s="318" t="s">
        <v>61</v>
      </c>
      <c r="D368">
        <v>18120</v>
      </c>
      <c r="E368" s="143">
        <v>75000</v>
      </c>
      <c r="F368" s="117">
        <v>1404</v>
      </c>
      <c r="G368" s="321" t="s">
        <v>305</v>
      </c>
      <c r="H368" s="144">
        <f>bargiri[[#This Row],[میزان بارگیری شده]]*bargiri[[#This Row],[فی]]</f>
        <v>1359000000</v>
      </c>
      <c r="I368" s="321">
        <f>IF(year=bargiri[[#This Row],[سال]],1,0)</f>
        <v>1</v>
      </c>
      <c r="X368" s="1"/>
      <c r="Y368" s="1"/>
      <c r="Z368" s="1"/>
    </row>
    <row r="369" spans="1:26" ht="18.600000000000001" hidden="1" x14ac:dyDescent="0.25">
      <c r="A369" s="321" t="s">
        <v>550</v>
      </c>
      <c r="B369" s="321" t="s">
        <v>98</v>
      </c>
      <c r="C369" s="318" t="s">
        <v>541</v>
      </c>
      <c r="D369">
        <v>15840</v>
      </c>
      <c r="E369" s="143">
        <v>151200</v>
      </c>
      <c r="F369" s="117">
        <v>1404</v>
      </c>
      <c r="G369" s="321" t="s">
        <v>305</v>
      </c>
      <c r="H369" s="144">
        <f>bargiri[[#This Row],[میزان بارگیری شده]]*bargiri[[#This Row],[فی]]</f>
        <v>2395008000</v>
      </c>
      <c r="I369" s="321">
        <f>IF(year=bargiri[[#This Row],[سال]],1,0)</f>
        <v>1</v>
      </c>
      <c r="X369" s="1"/>
      <c r="Y369" s="1"/>
      <c r="Z369" s="1"/>
    </row>
    <row r="370" spans="1:26" ht="18.600000000000001" hidden="1" x14ac:dyDescent="0.25">
      <c r="A370" s="321" t="s">
        <v>550</v>
      </c>
      <c r="B370" s="321" t="s">
        <v>98</v>
      </c>
      <c r="C370" s="318" t="s">
        <v>3</v>
      </c>
      <c r="D370">
        <v>4060</v>
      </c>
      <c r="E370" s="143">
        <v>65000</v>
      </c>
      <c r="F370" s="117">
        <v>1404</v>
      </c>
      <c r="G370" s="321" t="s">
        <v>305</v>
      </c>
      <c r="H370" s="144">
        <f>bargiri[[#This Row],[میزان بارگیری شده]]*bargiri[[#This Row],[فی]]</f>
        <v>263900000</v>
      </c>
      <c r="I370" s="321">
        <f>IF(year=bargiri[[#This Row],[سال]],1,0)</f>
        <v>1</v>
      </c>
      <c r="X370" s="1"/>
      <c r="Y370" s="1"/>
      <c r="Z370" s="1"/>
    </row>
    <row r="371" spans="1:26" ht="18.600000000000001" x14ac:dyDescent="0.25">
      <c r="A371" s="321" t="s">
        <v>527</v>
      </c>
      <c r="B371" s="321" t="s">
        <v>118</v>
      </c>
      <c r="C371" s="318" t="s">
        <v>84</v>
      </c>
      <c r="D371">
        <v>20465</v>
      </c>
      <c r="E371" s="143">
        <v>57273</v>
      </c>
      <c r="F371" s="117">
        <v>1404</v>
      </c>
      <c r="G371" s="321" t="s">
        <v>305</v>
      </c>
      <c r="H371" s="144">
        <f>bargiri[[#This Row],[میزان بارگیری شده]]*bargiri[[#This Row],[فی]]</f>
        <v>1172091945</v>
      </c>
      <c r="I371" s="321">
        <f>IF(year=bargiri[[#This Row],[سال]],1,0)</f>
        <v>1</v>
      </c>
      <c r="X371" s="1"/>
      <c r="Y371" s="1"/>
      <c r="Z371" s="1"/>
    </row>
    <row r="372" spans="1:26" ht="18.600000000000001" x14ac:dyDescent="0.25">
      <c r="A372" s="321" t="s">
        <v>527</v>
      </c>
      <c r="B372" s="321" t="s">
        <v>118</v>
      </c>
      <c r="C372" s="318" t="s">
        <v>84</v>
      </c>
      <c r="D372">
        <v>20410</v>
      </c>
      <c r="E372" s="143">
        <v>57273</v>
      </c>
      <c r="F372" s="117">
        <v>1404</v>
      </c>
      <c r="G372" s="321" t="s">
        <v>305</v>
      </c>
      <c r="H372" s="144">
        <f>bargiri[[#This Row],[میزان بارگیری شده]]*bargiri[[#This Row],[فی]]</f>
        <v>1168941930</v>
      </c>
      <c r="I372" s="321">
        <f>IF(year=bargiri[[#This Row],[سال]],1,0)</f>
        <v>1</v>
      </c>
      <c r="X372" s="1"/>
      <c r="Y372" s="1"/>
      <c r="Z372" s="1"/>
    </row>
    <row r="373" spans="1:26" ht="18.600000000000001" hidden="1" x14ac:dyDescent="0.25">
      <c r="A373" s="321" t="s">
        <v>527</v>
      </c>
      <c r="B373" s="321" t="s">
        <v>103</v>
      </c>
      <c r="C373" s="318" t="s">
        <v>29</v>
      </c>
      <c r="D373">
        <v>7445</v>
      </c>
      <c r="E373" s="143">
        <v>75000</v>
      </c>
      <c r="F373" s="117">
        <v>1404</v>
      </c>
      <c r="G373" s="321" t="s">
        <v>305</v>
      </c>
      <c r="H373" s="144">
        <f>bargiri[[#This Row],[میزان بارگیری شده]]*bargiri[[#This Row],[فی]]</f>
        <v>558375000</v>
      </c>
      <c r="I373" s="321">
        <f>IF(year=bargiri[[#This Row],[سال]],1,0)</f>
        <v>1</v>
      </c>
      <c r="X373" s="1"/>
      <c r="Y373" s="1"/>
      <c r="Z373" s="1"/>
    </row>
    <row r="374" spans="1:26" ht="18.600000000000001" hidden="1" x14ac:dyDescent="0.25">
      <c r="A374" s="321" t="s">
        <v>527</v>
      </c>
      <c r="B374" s="321" t="s">
        <v>116</v>
      </c>
      <c r="C374" s="318" t="s">
        <v>77</v>
      </c>
      <c r="D374">
        <v>18110</v>
      </c>
      <c r="E374" s="143">
        <v>68500</v>
      </c>
      <c r="F374" s="117">
        <v>1404</v>
      </c>
      <c r="G374" s="321" t="s">
        <v>305</v>
      </c>
      <c r="H374" s="144">
        <f>bargiri[[#This Row],[میزان بارگیری شده]]*bargiri[[#This Row],[فی]]</f>
        <v>1240535000</v>
      </c>
      <c r="I374" s="321">
        <f>IF(year=bargiri[[#This Row],[سال]],1,0)</f>
        <v>1</v>
      </c>
      <c r="X374" s="1"/>
      <c r="Y374" s="1"/>
      <c r="Z374" s="1"/>
    </row>
    <row r="375" spans="1:26" ht="18.600000000000001" hidden="1" x14ac:dyDescent="0.25">
      <c r="A375" s="321" t="s">
        <v>528</v>
      </c>
      <c r="B375" s="321" t="s">
        <v>101</v>
      </c>
      <c r="C375" s="318" t="s">
        <v>19</v>
      </c>
      <c r="D375">
        <v>19960</v>
      </c>
      <c r="E375" s="143">
        <v>75000</v>
      </c>
      <c r="F375" s="117">
        <v>1404</v>
      </c>
      <c r="G375" s="321" t="s">
        <v>305</v>
      </c>
      <c r="H375" s="144">
        <f>bargiri[[#This Row],[میزان بارگیری شده]]*bargiri[[#This Row],[فی]]</f>
        <v>1497000000</v>
      </c>
      <c r="I375" s="321">
        <f>IF(year=bargiri[[#This Row],[سال]],1,0)</f>
        <v>1</v>
      </c>
      <c r="X375" s="1"/>
      <c r="Y375" s="1"/>
      <c r="Z375" s="1"/>
    </row>
    <row r="376" spans="1:26" ht="18.600000000000001" hidden="1" x14ac:dyDescent="0.25">
      <c r="A376" s="321" t="s">
        <v>528</v>
      </c>
      <c r="B376" s="321" t="s">
        <v>106</v>
      </c>
      <c r="C376" s="318" t="s">
        <v>44</v>
      </c>
      <c r="D376">
        <v>20090</v>
      </c>
      <c r="E376" s="143">
        <v>80000</v>
      </c>
      <c r="F376" s="117">
        <v>1404</v>
      </c>
      <c r="G376" s="321" t="s">
        <v>305</v>
      </c>
      <c r="H376" s="144">
        <f>bargiri[[#This Row],[میزان بارگیری شده]]*bargiri[[#This Row],[فی]]</f>
        <v>1607200000</v>
      </c>
      <c r="I376" s="321">
        <f>IF(year=bargiri[[#This Row],[سال]],1,0)</f>
        <v>1</v>
      </c>
      <c r="X376" s="1"/>
      <c r="Y376" s="1"/>
      <c r="Z376" s="1"/>
    </row>
    <row r="377" spans="1:26" ht="18.600000000000001" hidden="1" x14ac:dyDescent="0.25">
      <c r="A377" s="321" t="s">
        <v>528</v>
      </c>
      <c r="B377" s="321" t="s">
        <v>103</v>
      </c>
      <c r="C377" s="318" t="s">
        <v>29</v>
      </c>
      <c r="D377">
        <v>7345</v>
      </c>
      <c r="E377" s="143">
        <v>75000</v>
      </c>
      <c r="F377" s="117">
        <v>1404</v>
      </c>
      <c r="G377" s="321" t="s">
        <v>305</v>
      </c>
      <c r="H377" s="144">
        <f>bargiri[[#This Row],[میزان بارگیری شده]]*bargiri[[#This Row],[فی]]</f>
        <v>550875000</v>
      </c>
      <c r="I377" s="321">
        <f>IF(year=bargiri[[#This Row],[سال]],1,0)</f>
        <v>1</v>
      </c>
      <c r="X377" s="1"/>
      <c r="Y377" s="1"/>
      <c r="Z377" s="1"/>
    </row>
    <row r="378" spans="1:26" ht="18.600000000000001" hidden="1" x14ac:dyDescent="0.25">
      <c r="A378" s="321" t="s">
        <v>528</v>
      </c>
      <c r="B378" s="321" t="s">
        <v>104</v>
      </c>
      <c r="C378" s="318" t="s">
        <v>39</v>
      </c>
      <c r="D378">
        <v>18590</v>
      </c>
      <c r="E378" s="143">
        <v>65000</v>
      </c>
      <c r="F378" s="117">
        <v>1404</v>
      </c>
      <c r="G378" s="321" t="s">
        <v>305</v>
      </c>
      <c r="H378" s="144">
        <f>bargiri[[#This Row],[میزان بارگیری شده]]*bargiri[[#This Row],[فی]]</f>
        <v>1208350000</v>
      </c>
      <c r="I378" s="321">
        <f>IF(year=bargiri[[#This Row],[سال]],1,0)</f>
        <v>1</v>
      </c>
      <c r="X378" s="1"/>
      <c r="Y378" s="1"/>
      <c r="Z378" s="1"/>
    </row>
    <row r="379" spans="1:26" ht="18.600000000000001" hidden="1" x14ac:dyDescent="0.25">
      <c r="A379" s="321" t="s">
        <v>529</v>
      </c>
      <c r="B379" s="321" t="s">
        <v>122</v>
      </c>
      <c r="C379" s="318" t="s">
        <v>91</v>
      </c>
      <c r="D379">
        <v>20045</v>
      </c>
      <c r="E379" s="143">
        <v>75000</v>
      </c>
      <c r="F379" s="117">
        <v>1404</v>
      </c>
      <c r="G379" s="321" t="s">
        <v>305</v>
      </c>
      <c r="H379" s="144">
        <f>bargiri[[#This Row],[میزان بارگیری شده]]*bargiri[[#This Row],[فی]]</f>
        <v>1503375000</v>
      </c>
      <c r="I379" s="321">
        <f>IF(year=bargiri[[#This Row],[سال]],1,0)</f>
        <v>1</v>
      </c>
      <c r="X379" s="1"/>
      <c r="Y379" s="1"/>
      <c r="Z379" s="1"/>
    </row>
    <row r="380" spans="1:26" ht="18.600000000000001" hidden="1" x14ac:dyDescent="0.25">
      <c r="A380" s="321" t="s">
        <v>529</v>
      </c>
      <c r="B380" s="321" t="s">
        <v>116</v>
      </c>
      <c r="C380" s="318" t="s">
        <v>77</v>
      </c>
      <c r="D380">
        <v>19025</v>
      </c>
      <c r="E380" s="143">
        <v>68500</v>
      </c>
      <c r="F380" s="117">
        <v>1404</v>
      </c>
      <c r="G380" s="321" t="s">
        <v>305</v>
      </c>
      <c r="H380" s="144">
        <f>bargiri[[#This Row],[میزان بارگیری شده]]*bargiri[[#This Row],[فی]]</f>
        <v>1303212500</v>
      </c>
      <c r="I380" s="321">
        <f>IF(year=bargiri[[#This Row],[سال]],1,0)</f>
        <v>1</v>
      </c>
      <c r="X380" s="1"/>
      <c r="Y380" s="1"/>
      <c r="Z380" s="1"/>
    </row>
    <row r="381" spans="1:26" ht="18.600000000000001" x14ac:dyDescent="0.25">
      <c r="A381" s="321" t="s">
        <v>529</v>
      </c>
      <c r="B381" s="321" t="s">
        <v>118</v>
      </c>
      <c r="C381" s="318" t="s">
        <v>84</v>
      </c>
      <c r="D381">
        <v>20935</v>
      </c>
      <c r="E381" s="143">
        <v>57273</v>
      </c>
      <c r="F381" s="117">
        <v>1404</v>
      </c>
      <c r="G381" s="321" t="s">
        <v>305</v>
      </c>
      <c r="H381" s="144">
        <f>bargiri[[#This Row],[میزان بارگیری شده]]*bargiri[[#This Row],[فی]]</f>
        <v>1199010255</v>
      </c>
      <c r="I381" s="321">
        <f>IF(year=bargiri[[#This Row],[سال]],1,0)</f>
        <v>1</v>
      </c>
      <c r="X381" s="1"/>
      <c r="Y381" s="1"/>
      <c r="Z381" s="1"/>
    </row>
    <row r="382" spans="1:26" ht="18.600000000000001" x14ac:dyDescent="0.25">
      <c r="A382" s="321" t="s">
        <v>529</v>
      </c>
      <c r="B382" s="321" t="s">
        <v>118</v>
      </c>
      <c r="C382" s="318" t="s">
        <v>84</v>
      </c>
      <c r="D382">
        <v>21040</v>
      </c>
      <c r="E382" s="143">
        <v>57273</v>
      </c>
      <c r="F382" s="117">
        <v>1404</v>
      </c>
      <c r="G382" s="321" t="s">
        <v>305</v>
      </c>
      <c r="H382" s="144">
        <f>bargiri[[#This Row],[میزان بارگیری شده]]*bargiri[[#This Row],[فی]]</f>
        <v>1205023920</v>
      </c>
      <c r="I382" s="321">
        <f>IF(year=bargiri[[#This Row],[سال]],1,0)</f>
        <v>1</v>
      </c>
      <c r="X382" s="1"/>
      <c r="Y382" s="1"/>
      <c r="Z382" s="1"/>
    </row>
    <row r="383" spans="1:26" ht="18.600000000000001" hidden="1" x14ac:dyDescent="0.25">
      <c r="A383" s="321" t="s">
        <v>529</v>
      </c>
      <c r="B383" s="321" t="s">
        <v>125</v>
      </c>
      <c r="C383" s="318" t="s">
        <v>96</v>
      </c>
      <c r="D383">
        <v>14550</v>
      </c>
      <c r="E383" s="143">
        <v>100000</v>
      </c>
      <c r="F383" s="117">
        <v>1404</v>
      </c>
      <c r="G383" s="321" t="s">
        <v>305</v>
      </c>
      <c r="H383" s="144">
        <f>bargiri[[#This Row],[میزان بارگیری شده]]*bargiri[[#This Row],[فی]]</f>
        <v>1455000000</v>
      </c>
      <c r="I383" s="321">
        <f>IF(year=bargiri[[#This Row],[سال]],1,0)</f>
        <v>1</v>
      </c>
      <c r="X383" s="1"/>
      <c r="Y383" s="1"/>
      <c r="Z383" s="1"/>
    </row>
    <row r="384" spans="1:26" ht="18.600000000000001" hidden="1" x14ac:dyDescent="0.25">
      <c r="A384" s="321" t="s">
        <v>530</v>
      </c>
      <c r="B384" s="321" t="s">
        <v>103</v>
      </c>
      <c r="C384" s="318" t="s">
        <v>29</v>
      </c>
      <c r="D384">
        <v>4020</v>
      </c>
      <c r="E384" s="143">
        <v>75000</v>
      </c>
      <c r="F384" s="117">
        <v>1404</v>
      </c>
      <c r="G384" s="321" t="s">
        <v>305</v>
      </c>
      <c r="H384" s="144">
        <f>bargiri[[#This Row],[میزان بارگیری شده]]*bargiri[[#This Row],[فی]]</f>
        <v>301500000</v>
      </c>
      <c r="I384" s="321">
        <f>IF(year=bargiri[[#This Row],[سال]],1,0)</f>
        <v>1</v>
      </c>
      <c r="X384" s="1"/>
      <c r="Y384" s="1"/>
      <c r="Z384" s="1"/>
    </row>
    <row r="385" spans="1:26" ht="18.600000000000001" hidden="1" x14ac:dyDescent="0.25">
      <c r="A385" s="321" t="s">
        <v>530</v>
      </c>
      <c r="B385" s="321" t="s">
        <v>113</v>
      </c>
      <c r="C385" s="318" t="s">
        <v>61</v>
      </c>
      <c r="D385">
        <v>19220</v>
      </c>
      <c r="E385" s="143">
        <v>75000</v>
      </c>
      <c r="F385" s="117">
        <v>1404</v>
      </c>
      <c r="G385" s="321" t="s">
        <v>305</v>
      </c>
      <c r="H385" s="144">
        <f>bargiri[[#This Row],[میزان بارگیری شده]]*bargiri[[#This Row],[فی]]</f>
        <v>1441500000</v>
      </c>
      <c r="I385" s="321">
        <f>IF(year=bargiri[[#This Row],[سال]],1,0)</f>
        <v>1</v>
      </c>
      <c r="X385" s="1"/>
      <c r="Y385" s="1"/>
      <c r="Z385" s="1"/>
    </row>
    <row r="386" spans="1:26" ht="18.600000000000001" x14ac:dyDescent="0.25">
      <c r="A386" s="321" t="s">
        <v>530</v>
      </c>
      <c r="B386" s="321" t="s">
        <v>118</v>
      </c>
      <c r="C386" s="318" t="s">
        <v>84</v>
      </c>
      <c r="D386">
        <v>20940</v>
      </c>
      <c r="E386" s="143">
        <v>57273</v>
      </c>
      <c r="F386" s="117">
        <v>1404</v>
      </c>
      <c r="G386" s="321" t="s">
        <v>305</v>
      </c>
      <c r="H386" s="144">
        <f>bargiri[[#This Row],[میزان بارگیری شده]]*bargiri[[#This Row],[فی]]</f>
        <v>1199296620</v>
      </c>
      <c r="I386" s="321">
        <f>IF(year=bargiri[[#This Row],[سال]],1,0)</f>
        <v>1</v>
      </c>
      <c r="X386" s="1"/>
      <c r="Y386" s="1"/>
      <c r="Z386" s="1"/>
    </row>
    <row r="387" spans="1:26" ht="18.600000000000001" x14ac:dyDescent="0.25">
      <c r="A387" s="321" t="s">
        <v>530</v>
      </c>
      <c r="B387" s="321" t="s">
        <v>118</v>
      </c>
      <c r="C387" s="318" t="s">
        <v>84</v>
      </c>
      <c r="D387">
        <v>20950</v>
      </c>
      <c r="E387" s="143">
        <v>57273</v>
      </c>
      <c r="F387" s="117">
        <v>1404</v>
      </c>
      <c r="G387" s="321" t="s">
        <v>305</v>
      </c>
      <c r="H387" s="144">
        <f>bargiri[[#This Row],[میزان بارگیری شده]]*bargiri[[#This Row],[فی]]</f>
        <v>1199869350</v>
      </c>
      <c r="I387" s="321">
        <f>IF(year=bargiri[[#This Row],[سال]],1,0)</f>
        <v>1</v>
      </c>
      <c r="X387" s="1"/>
      <c r="Y387" s="1"/>
      <c r="Z387" s="1"/>
    </row>
    <row r="388" spans="1:26" ht="18.600000000000001" hidden="1" x14ac:dyDescent="0.25">
      <c r="A388" s="321" t="s">
        <v>530</v>
      </c>
      <c r="B388" s="321" t="s">
        <v>107</v>
      </c>
      <c r="C388" s="318" t="s">
        <v>50</v>
      </c>
      <c r="D388">
        <v>18945</v>
      </c>
      <c r="E388" s="143">
        <v>70000</v>
      </c>
      <c r="F388" s="117">
        <v>1404</v>
      </c>
      <c r="G388" s="321" t="s">
        <v>305</v>
      </c>
      <c r="H388" s="144">
        <f>bargiri[[#This Row],[میزان بارگیری شده]]*bargiri[[#This Row],[فی]]</f>
        <v>1326150000</v>
      </c>
      <c r="I388" s="321">
        <f>IF(year=bargiri[[#This Row],[سال]],1,0)</f>
        <v>1</v>
      </c>
      <c r="X388" s="1"/>
      <c r="Y388" s="1"/>
      <c r="Z388" s="1"/>
    </row>
    <row r="389" spans="1:26" ht="18.600000000000001" hidden="1" x14ac:dyDescent="0.25">
      <c r="A389" s="321" t="s">
        <v>530</v>
      </c>
      <c r="B389" s="321" t="s">
        <v>103</v>
      </c>
      <c r="C389" s="318" t="s">
        <v>29</v>
      </c>
      <c r="D389">
        <v>7470</v>
      </c>
      <c r="E389" s="143">
        <v>75000</v>
      </c>
      <c r="F389" s="117">
        <v>1404</v>
      </c>
      <c r="G389" s="321" t="s">
        <v>305</v>
      </c>
      <c r="H389" s="144">
        <f>bargiri[[#This Row],[میزان بارگیری شده]]*bargiri[[#This Row],[فی]]</f>
        <v>560250000</v>
      </c>
      <c r="I389" s="321">
        <f>IF(year=bargiri[[#This Row],[سال]],1,0)</f>
        <v>1</v>
      </c>
      <c r="X389" s="1"/>
      <c r="Y389" s="1"/>
      <c r="Z389" s="1"/>
    </row>
    <row r="390" spans="1:26" ht="18.600000000000001" hidden="1" x14ac:dyDescent="0.25">
      <c r="A390" s="321" t="s">
        <v>531</v>
      </c>
      <c r="B390" s="321" t="s">
        <v>103</v>
      </c>
      <c r="C390" s="318" t="s">
        <v>29</v>
      </c>
      <c r="D390">
        <v>6950</v>
      </c>
      <c r="E390" s="143">
        <v>75000</v>
      </c>
      <c r="F390" s="117">
        <v>1404</v>
      </c>
      <c r="G390" s="321" t="s">
        <v>305</v>
      </c>
      <c r="H390" s="144">
        <f>bargiri[[#This Row],[میزان بارگیری شده]]*bargiri[[#This Row],[فی]]</f>
        <v>521250000</v>
      </c>
      <c r="I390" s="321">
        <f>IF(year=bargiri[[#This Row],[سال]],1,0)</f>
        <v>1</v>
      </c>
      <c r="X390" s="1"/>
      <c r="Y390" s="1"/>
      <c r="Z390" s="1"/>
    </row>
    <row r="391" spans="1:26" ht="18.600000000000001" hidden="1" x14ac:dyDescent="0.25">
      <c r="A391" s="321" t="s">
        <v>531</v>
      </c>
      <c r="B391" s="321" t="s">
        <v>102</v>
      </c>
      <c r="C391" s="318" t="s">
        <v>24</v>
      </c>
      <c r="D391">
        <v>11325</v>
      </c>
      <c r="E391" s="143">
        <v>70000</v>
      </c>
      <c r="F391" s="117">
        <v>1404</v>
      </c>
      <c r="G391" s="321" t="s">
        <v>305</v>
      </c>
      <c r="H391" s="144">
        <f>bargiri[[#This Row],[میزان بارگیری شده]]*bargiri[[#This Row],[فی]]</f>
        <v>792750000</v>
      </c>
      <c r="I391" s="321">
        <f>IF(year=bargiri[[#This Row],[سال]],1,0)</f>
        <v>1</v>
      </c>
      <c r="X391" s="1"/>
      <c r="Y391" s="1"/>
      <c r="Z391" s="1"/>
    </row>
    <row r="392" spans="1:26" ht="18.600000000000001" x14ac:dyDescent="0.25">
      <c r="A392" s="321" t="s">
        <v>532</v>
      </c>
      <c r="B392" s="321" t="s">
        <v>118</v>
      </c>
      <c r="C392" s="318" t="s">
        <v>84</v>
      </c>
      <c r="D392">
        <v>20685</v>
      </c>
      <c r="E392" s="143">
        <v>57273</v>
      </c>
      <c r="F392" s="117">
        <v>1404</v>
      </c>
      <c r="G392" s="321" t="s">
        <v>305</v>
      </c>
      <c r="H392" s="144">
        <f>bargiri[[#This Row],[میزان بارگیری شده]]*bargiri[[#This Row],[فی]]</f>
        <v>1184692005</v>
      </c>
      <c r="I392" s="321">
        <f>IF(year=bargiri[[#This Row],[سال]],1,0)</f>
        <v>1</v>
      </c>
      <c r="X392" s="1"/>
      <c r="Y392" s="1"/>
      <c r="Z392" s="1"/>
    </row>
    <row r="393" spans="1:26" ht="18.600000000000001" x14ac:dyDescent="0.25">
      <c r="A393" s="321" t="s">
        <v>532</v>
      </c>
      <c r="B393" s="321" t="s">
        <v>118</v>
      </c>
      <c r="C393" s="318" t="s">
        <v>84</v>
      </c>
      <c r="D393">
        <v>20460</v>
      </c>
      <c r="E393" s="143">
        <v>57273</v>
      </c>
      <c r="F393" s="117">
        <v>1404</v>
      </c>
      <c r="G393" s="321" t="s">
        <v>305</v>
      </c>
      <c r="H393" s="144">
        <f>bargiri[[#This Row],[میزان بارگیری شده]]*bargiri[[#This Row],[فی]]</f>
        <v>1171805580</v>
      </c>
      <c r="I393" s="321">
        <f>IF(year=bargiri[[#This Row],[سال]],1,0)</f>
        <v>1</v>
      </c>
      <c r="X393" s="1"/>
      <c r="Y393" s="1"/>
      <c r="Z393" s="1"/>
    </row>
    <row r="394" spans="1:26" ht="18.600000000000001" hidden="1" x14ac:dyDescent="0.25">
      <c r="A394" s="321" t="s">
        <v>533</v>
      </c>
      <c r="B394" s="321" t="s">
        <v>103</v>
      </c>
      <c r="C394" s="318" t="s">
        <v>29</v>
      </c>
      <c r="D394">
        <v>7310</v>
      </c>
      <c r="E394" s="143">
        <v>75000</v>
      </c>
      <c r="F394" s="117">
        <v>1404</v>
      </c>
      <c r="G394" s="321" t="s">
        <v>305</v>
      </c>
      <c r="H394" s="144">
        <f>bargiri[[#This Row],[میزان بارگیری شده]]*bargiri[[#This Row],[فی]]</f>
        <v>548250000</v>
      </c>
      <c r="I394" s="321">
        <f>IF(year=bargiri[[#This Row],[سال]],1,0)</f>
        <v>1</v>
      </c>
      <c r="X394" s="1"/>
      <c r="Y394" s="1"/>
      <c r="Z394" s="1"/>
    </row>
    <row r="395" spans="1:26" ht="18.600000000000001" hidden="1" x14ac:dyDescent="0.25">
      <c r="A395" s="321" t="s">
        <v>533</v>
      </c>
      <c r="B395" s="321" t="s">
        <v>107</v>
      </c>
      <c r="C395" s="318" t="s">
        <v>50</v>
      </c>
      <c r="D395">
        <v>17755</v>
      </c>
      <c r="E395" s="143">
        <v>70000</v>
      </c>
      <c r="F395" s="117">
        <v>1404</v>
      </c>
      <c r="G395" s="321" t="s">
        <v>305</v>
      </c>
      <c r="H395" s="144">
        <f>bargiri[[#This Row],[میزان بارگیری شده]]*bargiri[[#This Row],[فی]]</f>
        <v>1242850000</v>
      </c>
      <c r="I395" s="321">
        <f>IF(year=bargiri[[#This Row],[سال]],1,0)</f>
        <v>1</v>
      </c>
      <c r="X395" s="1"/>
      <c r="Y395" s="1"/>
      <c r="Z395" s="1"/>
    </row>
    <row r="396" spans="1:26" ht="18.600000000000001" hidden="1" x14ac:dyDescent="0.25">
      <c r="A396" s="321" t="s">
        <v>533</v>
      </c>
      <c r="B396" s="321" t="s">
        <v>103</v>
      </c>
      <c r="C396" s="318" t="s">
        <v>29</v>
      </c>
      <c r="D396">
        <v>7305</v>
      </c>
      <c r="E396" s="143">
        <v>75000</v>
      </c>
      <c r="F396" s="117">
        <v>1404</v>
      </c>
      <c r="G396" s="321" t="s">
        <v>305</v>
      </c>
      <c r="H396" s="144">
        <f>bargiri[[#This Row],[میزان بارگیری شده]]*bargiri[[#This Row],[فی]]</f>
        <v>547875000</v>
      </c>
      <c r="I396" s="321">
        <f>IF(year=bargiri[[#This Row],[سال]],1,0)</f>
        <v>1</v>
      </c>
      <c r="X396" s="1"/>
      <c r="Y396" s="1"/>
      <c r="Z396" s="1"/>
    </row>
    <row r="397" spans="1:26" ht="18.600000000000001" hidden="1" x14ac:dyDescent="0.25">
      <c r="A397" s="321" t="s">
        <v>533</v>
      </c>
      <c r="B397" s="321" t="s">
        <v>98</v>
      </c>
      <c r="C397" s="318" t="s">
        <v>3</v>
      </c>
      <c r="D397">
        <v>20060</v>
      </c>
      <c r="E397" s="143">
        <v>65000</v>
      </c>
      <c r="F397" s="117">
        <v>1404</v>
      </c>
      <c r="G397" s="321" t="s">
        <v>305</v>
      </c>
      <c r="H397" s="144">
        <f>bargiri[[#This Row],[میزان بارگیری شده]]*bargiri[[#This Row],[فی]]</f>
        <v>1303900000</v>
      </c>
      <c r="I397" s="321">
        <f>IF(year=bargiri[[#This Row],[سال]],1,0)</f>
        <v>1</v>
      </c>
      <c r="X397" s="1"/>
      <c r="Y397" s="1"/>
      <c r="Z397" s="1"/>
    </row>
    <row r="398" spans="1:26" ht="18.600000000000001" hidden="1" x14ac:dyDescent="0.25">
      <c r="A398" s="321" t="s">
        <v>533</v>
      </c>
      <c r="B398" s="321" t="s">
        <v>113</v>
      </c>
      <c r="C398" s="318" t="s">
        <v>61</v>
      </c>
      <c r="D398">
        <v>19095</v>
      </c>
      <c r="E398" s="143">
        <v>75000</v>
      </c>
      <c r="F398" s="117">
        <v>1404</v>
      </c>
      <c r="G398" s="321" t="s">
        <v>305</v>
      </c>
      <c r="H398" s="144">
        <f>bargiri[[#This Row],[میزان بارگیری شده]]*bargiri[[#This Row],[فی]]</f>
        <v>1432125000</v>
      </c>
      <c r="I398" s="321">
        <f>IF(year=bargiri[[#This Row],[سال]],1,0)</f>
        <v>1</v>
      </c>
      <c r="X398" s="1"/>
      <c r="Y398" s="1"/>
      <c r="Z398" s="1"/>
    </row>
    <row r="399" spans="1:26" ht="18.600000000000001" hidden="1" x14ac:dyDescent="0.25">
      <c r="A399" s="321" t="s">
        <v>534</v>
      </c>
      <c r="B399" s="321" t="s">
        <v>116</v>
      </c>
      <c r="C399" s="318" t="s">
        <v>77</v>
      </c>
      <c r="D399">
        <v>17940</v>
      </c>
      <c r="E399" s="143">
        <v>68500</v>
      </c>
      <c r="F399" s="117">
        <v>1404</v>
      </c>
      <c r="G399" s="321" t="s">
        <v>305</v>
      </c>
      <c r="H399" s="144">
        <f>bargiri[[#This Row],[میزان بارگیری شده]]*bargiri[[#This Row],[فی]]</f>
        <v>1228890000</v>
      </c>
      <c r="I399" s="321">
        <f>IF(year=bargiri[[#This Row],[سال]],1,0)</f>
        <v>1</v>
      </c>
      <c r="X399" s="1"/>
      <c r="Y399" s="1"/>
      <c r="Z399" s="1"/>
    </row>
    <row r="400" spans="1:26" ht="18.600000000000001" x14ac:dyDescent="0.25">
      <c r="A400" s="321" t="s">
        <v>534</v>
      </c>
      <c r="B400" s="321" t="s">
        <v>118</v>
      </c>
      <c r="C400" s="318" t="s">
        <v>84</v>
      </c>
      <c r="D400">
        <v>21005</v>
      </c>
      <c r="E400" s="143">
        <v>57273</v>
      </c>
      <c r="F400" s="117">
        <v>1404</v>
      </c>
      <c r="G400" s="321" t="s">
        <v>305</v>
      </c>
      <c r="H400" s="144">
        <f>bargiri[[#This Row],[میزان بارگیری شده]]*bargiri[[#This Row],[فی]]</f>
        <v>1203019365</v>
      </c>
      <c r="I400" s="321">
        <f>IF(year=bargiri[[#This Row],[سال]],1,0)</f>
        <v>1</v>
      </c>
      <c r="X400" s="1"/>
      <c r="Y400" s="1"/>
      <c r="Z400" s="1"/>
    </row>
    <row r="401" spans="1:26" ht="18.600000000000001" x14ac:dyDescent="0.25">
      <c r="A401" s="321" t="s">
        <v>534</v>
      </c>
      <c r="B401" s="321" t="s">
        <v>118</v>
      </c>
      <c r="C401" s="318" t="s">
        <v>84</v>
      </c>
      <c r="D401">
        <v>20955</v>
      </c>
      <c r="E401" s="143">
        <v>57273</v>
      </c>
      <c r="F401" s="117">
        <v>1404</v>
      </c>
      <c r="G401" s="321" t="s">
        <v>305</v>
      </c>
      <c r="H401" s="144">
        <f>bargiri[[#This Row],[میزان بارگیری شده]]*bargiri[[#This Row],[فی]]</f>
        <v>1200155715</v>
      </c>
      <c r="I401" s="321">
        <f>IF(year=bargiri[[#This Row],[سال]],1,0)</f>
        <v>1</v>
      </c>
      <c r="X401" s="1"/>
      <c r="Y401" s="1"/>
      <c r="Z401" s="1"/>
    </row>
    <row r="402" spans="1:26" ht="18.600000000000001" hidden="1" x14ac:dyDescent="0.25">
      <c r="A402" s="321" t="s">
        <v>534</v>
      </c>
      <c r="B402" s="321" t="s">
        <v>120</v>
      </c>
      <c r="C402" s="318" t="s">
        <v>88</v>
      </c>
      <c r="D402">
        <v>9060</v>
      </c>
      <c r="E402" s="143">
        <v>80000</v>
      </c>
      <c r="F402" s="117">
        <v>1404</v>
      </c>
      <c r="G402" s="321" t="s">
        <v>305</v>
      </c>
      <c r="H402" s="144">
        <f>bargiri[[#This Row],[میزان بارگیری شده]]*bargiri[[#This Row],[فی]]</f>
        <v>724800000</v>
      </c>
      <c r="I402" s="321">
        <f>IF(year=bargiri[[#This Row],[سال]],1,0)</f>
        <v>1</v>
      </c>
      <c r="X402" s="1"/>
      <c r="Y402" s="1"/>
      <c r="Z402" s="1"/>
    </row>
    <row r="403" spans="1:26" ht="18.600000000000001" hidden="1" x14ac:dyDescent="0.25">
      <c r="A403" s="321" t="s">
        <v>535</v>
      </c>
      <c r="B403" s="321" t="s">
        <v>116</v>
      </c>
      <c r="C403" s="318" t="s">
        <v>77</v>
      </c>
      <c r="D403">
        <v>7995</v>
      </c>
      <c r="E403" s="143">
        <v>68500</v>
      </c>
      <c r="F403" s="117">
        <v>1404</v>
      </c>
      <c r="G403" s="321" t="s">
        <v>305</v>
      </c>
      <c r="H403" s="144">
        <f>bargiri[[#This Row],[میزان بارگیری شده]]*bargiri[[#This Row],[فی]]</f>
        <v>547657500</v>
      </c>
      <c r="I403" s="321">
        <f>IF(year=bargiri[[#This Row],[سال]],1,0)</f>
        <v>1</v>
      </c>
      <c r="X403" s="1"/>
      <c r="Y403" s="1"/>
      <c r="Z403" s="1"/>
    </row>
    <row r="404" spans="1:26" ht="18.600000000000001" hidden="1" x14ac:dyDescent="0.25">
      <c r="A404" s="321" t="s">
        <v>535</v>
      </c>
      <c r="B404" s="321" t="s">
        <v>123</v>
      </c>
      <c r="C404" s="318" t="s">
        <v>536</v>
      </c>
      <c r="D404">
        <v>7700</v>
      </c>
      <c r="E404" s="143">
        <v>100000</v>
      </c>
      <c r="F404" s="117">
        <v>1404</v>
      </c>
      <c r="G404" s="321" t="s">
        <v>305</v>
      </c>
      <c r="H404" s="144">
        <f>bargiri[[#This Row],[میزان بارگیری شده]]*bargiri[[#This Row],[فی]]</f>
        <v>770000000</v>
      </c>
      <c r="I404" s="321">
        <f>IF(year=bargiri[[#This Row],[سال]],1,0)</f>
        <v>1</v>
      </c>
      <c r="X404" s="1"/>
      <c r="Y404" s="1"/>
      <c r="Z404" s="1"/>
    </row>
    <row r="405" spans="1:26" ht="18.600000000000001" hidden="1" x14ac:dyDescent="0.25">
      <c r="A405" s="321" t="s">
        <v>535</v>
      </c>
      <c r="B405" s="321" t="s">
        <v>117</v>
      </c>
      <c r="C405" s="318" t="s">
        <v>79</v>
      </c>
      <c r="D405">
        <v>19930</v>
      </c>
      <c r="E405" s="143">
        <v>75000</v>
      </c>
      <c r="F405" s="117">
        <v>1404</v>
      </c>
      <c r="G405" s="321" t="s">
        <v>305</v>
      </c>
      <c r="H405" s="144">
        <f>bargiri[[#This Row],[میزان بارگیری شده]]*bargiri[[#This Row],[فی]]</f>
        <v>1494750000</v>
      </c>
      <c r="I405" s="321">
        <f>IF(year=bargiri[[#This Row],[سال]],1,0)</f>
        <v>1</v>
      </c>
      <c r="X405" s="1"/>
      <c r="Y405" s="1"/>
      <c r="Z405" s="1"/>
    </row>
    <row r="406" spans="1:26" ht="18.600000000000001" hidden="1" x14ac:dyDescent="0.25">
      <c r="A406" s="321" t="s">
        <v>535</v>
      </c>
      <c r="B406" s="321" t="s">
        <v>103</v>
      </c>
      <c r="C406" s="318" t="s">
        <v>29</v>
      </c>
      <c r="D406">
        <v>7185</v>
      </c>
      <c r="E406" s="143">
        <v>75000</v>
      </c>
      <c r="F406" s="117">
        <v>1404</v>
      </c>
      <c r="G406" s="321" t="s">
        <v>305</v>
      </c>
      <c r="H406" s="144">
        <f>bargiri[[#This Row],[میزان بارگیری شده]]*bargiri[[#This Row],[فی]]</f>
        <v>538875000</v>
      </c>
      <c r="I406" s="321">
        <f>IF(year=bargiri[[#This Row],[سال]],1,0)</f>
        <v>1</v>
      </c>
      <c r="X406" s="1"/>
      <c r="Y406" s="1"/>
      <c r="Z406" s="1"/>
    </row>
    <row r="407" spans="1:26" ht="18.600000000000001" hidden="1" x14ac:dyDescent="0.25">
      <c r="A407" s="321" t="s">
        <v>535</v>
      </c>
      <c r="B407" s="321" t="s">
        <v>106</v>
      </c>
      <c r="C407" s="318" t="s">
        <v>44</v>
      </c>
      <c r="D407">
        <v>20005</v>
      </c>
      <c r="E407" s="143">
        <v>80000</v>
      </c>
      <c r="F407" s="117">
        <v>1404</v>
      </c>
      <c r="G407" s="321" t="s">
        <v>305</v>
      </c>
      <c r="H407" s="144">
        <f>bargiri[[#This Row],[میزان بارگیری شده]]*bargiri[[#This Row],[فی]]</f>
        <v>1600400000</v>
      </c>
      <c r="I407" s="321">
        <f>IF(year=bargiri[[#This Row],[سال]],1,0)</f>
        <v>1</v>
      </c>
      <c r="X407" s="1"/>
      <c r="Y407" s="1"/>
      <c r="Z407" s="1"/>
    </row>
    <row r="408" spans="1:26" ht="18.600000000000001" hidden="1" x14ac:dyDescent="0.25">
      <c r="A408" s="321" t="s">
        <v>535</v>
      </c>
      <c r="B408" s="321" t="s">
        <v>113</v>
      </c>
      <c r="C408" s="318" t="s">
        <v>61</v>
      </c>
      <c r="D408">
        <v>19050</v>
      </c>
      <c r="E408" s="143">
        <v>75000</v>
      </c>
      <c r="F408" s="117">
        <v>1404</v>
      </c>
      <c r="G408" s="321" t="s">
        <v>305</v>
      </c>
      <c r="H408" s="144">
        <f>bargiri[[#This Row],[میزان بارگیری شده]]*bargiri[[#This Row],[فی]]</f>
        <v>1428750000</v>
      </c>
      <c r="I408" s="321">
        <f>IF(year=bargiri[[#This Row],[سال]],1,0)</f>
        <v>1</v>
      </c>
      <c r="X408" s="1"/>
      <c r="Y408" s="1"/>
      <c r="Z408" s="1"/>
    </row>
    <row r="409" spans="1:26" ht="18.600000000000001" hidden="1" x14ac:dyDescent="0.25">
      <c r="A409" s="321" t="s">
        <v>535</v>
      </c>
      <c r="B409" s="321" t="s">
        <v>114</v>
      </c>
      <c r="C409" s="318" t="s">
        <v>62</v>
      </c>
      <c r="D409">
        <v>21015</v>
      </c>
      <c r="E409" s="143">
        <v>75000</v>
      </c>
      <c r="F409" s="117">
        <v>1404</v>
      </c>
      <c r="G409" s="321" t="s">
        <v>305</v>
      </c>
      <c r="H409" s="144">
        <f>bargiri[[#This Row],[میزان بارگیری شده]]*bargiri[[#This Row],[فی]]</f>
        <v>1576125000</v>
      </c>
      <c r="I409" s="321">
        <f>IF(year=bargiri[[#This Row],[سال]],1,0)</f>
        <v>1</v>
      </c>
      <c r="X409" s="1"/>
      <c r="Y409" s="1"/>
      <c r="Z409" s="1"/>
    </row>
    <row r="410" spans="1:26" ht="18.600000000000001" hidden="1" x14ac:dyDescent="0.25">
      <c r="A410" s="321" t="s">
        <v>517</v>
      </c>
      <c r="B410" s="321" t="s">
        <v>103</v>
      </c>
      <c r="C410" s="318" t="s">
        <v>29</v>
      </c>
      <c r="D410">
        <v>7535</v>
      </c>
      <c r="E410" s="143">
        <v>75000</v>
      </c>
      <c r="F410" s="117">
        <v>1404</v>
      </c>
      <c r="G410" s="321" t="s">
        <v>305</v>
      </c>
      <c r="H410" s="144">
        <f>bargiri[[#This Row],[میزان بارگیری شده]]*bargiri[[#This Row],[فی]]</f>
        <v>565125000</v>
      </c>
      <c r="I410" s="321">
        <f>IF(year=bargiri[[#This Row],[سال]],1,0)</f>
        <v>1</v>
      </c>
      <c r="X410" s="1"/>
      <c r="Y410" s="1"/>
      <c r="Z410" s="1"/>
    </row>
    <row r="411" spans="1:26" ht="18.600000000000001" hidden="1" x14ac:dyDescent="0.25">
      <c r="A411" s="321" t="s">
        <v>520</v>
      </c>
      <c r="B411" s="321" t="s">
        <v>123</v>
      </c>
      <c r="C411" s="318" t="s">
        <v>536</v>
      </c>
      <c r="D411">
        <v>7715</v>
      </c>
      <c r="E411" s="143">
        <v>100000</v>
      </c>
      <c r="F411" s="117">
        <v>1404</v>
      </c>
      <c r="G411" s="321" t="s">
        <v>305</v>
      </c>
      <c r="H411" s="144">
        <f>bargiri[[#This Row],[میزان بارگیری شده]]*bargiri[[#This Row],[فی]]</f>
        <v>771500000</v>
      </c>
      <c r="I411" s="321">
        <f>IF(year=bargiri[[#This Row],[سال]],1,0)</f>
        <v>1</v>
      </c>
      <c r="X411" s="1"/>
      <c r="Y411" s="1"/>
      <c r="Z411" s="1"/>
    </row>
    <row r="412" spans="1:26" ht="18.600000000000001" hidden="1" x14ac:dyDescent="0.25">
      <c r="A412" s="321" t="s">
        <v>537</v>
      </c>
      <c r="B412" s="321" t="s">
        <v>103</v>
      </c>
      <c r="C412" s="318" t="s">
        <v>29</v>
      </c>
      <c r="D412">
        <v>7450</v>
      </c>
      <c r="E412" s="143">
        <v>75000</v>
      </c>
      <c r="F412" s="117">
        <v>1404</v>
      </c>
      <c r="G412" s="321" t="s">
        <v>305</v>
      </c>
      <c r="H412" s="144">
        <f>bargiri[[#This Row],[میزان بارگیری شده]]*bargiri[[#This Row],[فی]]</f>
        <v>558750000</v>
      </c>
      <c r="I412" s="321">
        <f>IF(year=bargiri[[#This Row],[سال]],1,0)</f>
        <v>1</v>
      </c>
      <c r="X412" s="1"/>
      <c r="Y412" s="1"/>
      <c r="Z412" s="1"/>
    </row>
    <row r="413" spans="1:26" ht="18.600000000000001" hidden="1" x14ac:dyDescent="0.25">
      <c r="A413" s="321" t="s">
        <v>537</v>
      </c>
      <c r="B413" s="321" t="s">
        <v>120</v>
      </c>
      <c r="C413" s="318" t="s">
        <v>88</v>
      </c>
      <c r="D413">
        <v>9005</v>
      </c>
      <c r="E413" s="143">
        <v>80000</v>
      </c>
      <c r="F413" s="117">
        <v>1404</v>
      </c>
      <c r="G413" s="321" t="s">
        <v>305</v>
      </c>
      <c r="H413" s="144">
        <f>bargiri[[#This Row],[میزان بارگیری شده]]*bargiri[[#This Row],[فی]]</f>
        <v>720400000</v>
      </c>
      <c r="I413" s="321">
        <f>IF(year=bargiri[[#This Row],[سال]],1,0)</f>
        <v>1</v>
      </c>
      <c r="X413" s="1"/>
      <c r="Y413" s="1"/>
      <c r="Z413" s="1"/>
    </row>
    <row r="414" spans="1:26" ht="18.600000000000001" x14ac:dyDescent="0.25">
      <c r="A414" s="321" t="s">
        <v>517</v>
      </c>
      <c r="B414" s="321" t="s">
        <v>118</v>
      </c>
      <c r="C414" s="318" t="s">
        <v>84</v>
      </c>
      <c r="D414">
        <v>20420</v>
      </c>
      <c r="E414" s="143">
        <v>57273</v>
      </c>
      <c r="F414" s="117">
        <v>1404</v>
      </c>
      <c r="G414" s="321" t="s">
        <v>305</v>
      </c>
      <c r="H414" s="144">
        <f>bargiri[[#This Row],[میزان بارگیری شده]]*bargiri[[#This Row],[فی]]</f>
        <v>1169514660</v>
      </c>
      <c r="I414" s="321">
        <f>IF(year=bargiri[[#This Row],[سال]],1,0)</f>
        <v>1</v>
      </c>
      <c r="X414" s="1"/>
      <c r="Y414" s="1"/>
      <c r="Z414" s="1"/>
    </row>
    <row r="415" spans="1:26" ht="18.600000000000001" x14ac:dyDescent="0.25">
      <c r="A415" s="321" t="s">
        <v>517</v>
      </c>
      <c r="B415" s="321" t="s">
        <v>118</v>
      </c>
      <c r="C415" s="318" t="s">
        <v>84</v>
      </c>
      <c r="D415">
        <v>20555</v>
      </c>
      <c r="E415" s="143">
        <v>57273</v>
      </c>
      <c r="F415" s="117">
        <v>1404</v>
      </c>
      <c r="G415" s="321" t="s">
        <v>305</v>
      </c>
      <c r="H415" s="144">
        <f>bargiri[[#This Row],[میزان بارگیری شده]]*bargiri[[#This Row],[فی]]</f>
        <v>1177246515</v>
      </c>
      <c r="I415" s="321">
        <f>IF(year=bargiri[[#This Row],[سال]],1,0)</f>
        <v>1</v>
      </c>
      <c r="X415" s="1"/>
      <c r="Y415" s="1"/>
      <c r="Z415" s="1"/>
    </row>
    <row r="416" spans="1:26" ht="18.600000000000001" x14ac:dyDescent="0.25">
      <c r="A416" s="321" t="s">
        <v>517</v>
      </c>
      <c r="B416" s="321" t="s">
        <v>118</v>
      </c>
      <c r="C416" s="318" t="s">
        <v>84</v>
      </c>
      <c r="D416">
        <v>20370</v>
      </c>
      <c r="E416" s="143">
        <v>57273</v>
      </c>
      <c r="F416" s="117">
        <v>1404</v>
      </c>
      <c r="G416" s="321" t="s">
        <v>305</v>
      </c>
      <c r="H416" s="144">
        <f>bargiri[[#This Row],[میزان بارگیری شده]]*bargiri[[#This Row],[فی]]</f>
        <v>1166651010</v>
      </c>
      <c r="I416" s="321">
        <f>IF(year=bargiri[[#This Row],[سال]],1,0)</f>
        <v>1</v>
      </c>
      <c r="X416" s="1"/>
      <c r="Y416" s="1"/>
      <c r="Z416" s="1"/>
    </row>
    <row r="417" spans="1:26" ht="18.600000000000001" hidden="1" x14ac:dyDescent="0.25">
      <c r="A417" s="321" t="s">
        <v>517</v>
      </c>
      <c r="B417" s="321" t="s">
        <v>101</v>
      </c>
      <c r="C417" s="318" t="s">
        <v>19</v>
      </c>
      <c r="D417">
        <v>19945</v>
      </c>
      <c r="E417" s="143">
        <v>75000</v>
      </c>
      <c r="F417" s="117">
        <v>1404</v>
      </c>
      <c r="G417" s="321" t="s">
        <v>305</v>
      </c>
      <c r="H417" s="144">
        <f>bargiri[[#This Row],[میزان بارگیری شده]]*bargiri[[#This Row],[فی]]</f>
        <v>1495875000</v>
      </c>
      <c r="I417" s="321">
        <f>IF(year=bargiri[[#This Row],[سال]],1,0)</f>
        <v>1</v>
      </c>
      <c r="X417" s="1"/>
      <c r="Y417" s="1"/>
      <c r="Z417" s="1"/>
    </row>
    <row r="418" spans="1:26" ht="18.600000000000001" hidden="1" x14ac:dyDescent="0.25">
      <c r="A418" s="321" t="s">
        <v>517</v>
      </c>
      <c r="B418" s="321" t="s">
        <v>107</v>
      </c>
      <c r="C418" s="318" t="s">
        <v>50</v>
      </c>
      <c r="D418">
        <v>18800</v>
      </c>
      <c r="E418" s="143">
        <v>70000</v>
      </c>
      <c r="F418" s="117">
        <v>1404</v>
      </c>
      <c r="G418" s="321" t="s">
        <v>305</v>
      </c>
      <c r="H418" s="144">
        <f>bargiri[[#This Row],[میزان بارگیری شده]]*bargiri[[#This Row],[فی]]</f>
        <v>1316000000</v>
      </c>
      <c r="I418" s="321">
        <f>IF(year=bargiri[[#This Row],[سال]],1,0)</f>
        <v>1</v>
      </c>
      <c r="X418" s="1"/>
      <c r="Y418" s="1"/>
      <c r="Z418" s="1"/>
    </row>
    <row r="419" spans="1:26" ht="18.600000000000001" hidden="1" x14ac:dyDescent="0.25">
      <c r="A419" s="321" t="s">
        <v>517</v>
      </c>
      <c r="B419" s="321" t="s">
        <v>109</v>
      </c>
      <c r="C419" s="318" t="s">
        <v>56</v>
      </c>
      <c r="D419">
        <v>7435</v>
      </c>
      <c r="E419" s="143">
        <v>100000</v>
      </c>
      <c r="F419" s="117">
        <v>1404</v>
      </c>
      <c r="G419" s="321" t="s">
        <v>305</v>
      </c>
      <c r="H419" s="144">
        <f>bargiri[[#This Row],[میزان بارگیری شده]]*bargiri[[#This Row],[فی]]</f>
        <v>743500000</v>
      </c>
      <c r="I419" s="321">
        <f>IF(year=bargiri[[#This Row],[سال]],1,0)</f>
        <v>1</v>
      </c>
      <c r="X419" s="1"/>
      <c r="Y419" s="1"/>
      <c r="Z419" s="1"/>
    </row>
    <row r="420" spans="1:26" ht="18.600000000000001" hidden="1" x14ac:dyDescent="0.25">
      <c r="A420" s="321" t="s">
        <v>518</v>
      </c>
      <c r="B420" s="321" t="s">
        <v>102</v>
      </c>
      <c r="C420" s="318" t="s">
        <v>24</v>
      </c>
      <c r="D420">
        <v>11585</v>
      </c>
      <c r="E420" s="143">
        <v>70000</v>
      </c>
      <c r="F420" s="117">
        <v>1404</v>
      </c>
      <c r="G420" s="321" t="s">
        <v>305</v>
      </c>
      <c r="H420" s="144">
        <f>bargiri[[#This Row],[میزان بارگیری شده]]*bargiri[[#This Row],[فی]]</f>
        <v>810950000</v>
      </c>
      <c r="I420" s="321">
        <f>IF(year=bargiri[[#This Row],[سال]],1,0)</f>
        <v>1</v>
      </c>
      <c r="X420" s="1"/>
      <c r="Y420" s="1"/>
      <c r="Z420" s="1"/>
    </row>
    <row r="421" spans="1:26" ht="18.600000000000001" hidden="1" x14ac:dyDescent="0.25">
      <c r="A421" s="321" t="s">
        <v>518</v>
      </c>
      <c r="B421" s="321" t="s">
        <v>116</v>
      </c>
      <c r="C421" s="318" t="s">
        <v>77</v>
      </c>
      <c r="D421">
        <v>18965</v>
      </c>
      <c r="E421" s="143">
        <v>68500</v>
      </c>
      <c r="F421" s="117">
        <v>1404</v>
      </c>
      <c r="G421" s="321" t="s">
        <v>305</v>
      </c>
      <c r="H421" s="144">
        <f>bargiri[[#This Row],[میزان بارگیری شده]]*bargiri[[#This Row],[فی]]</f>
        <v>1299102500</v>
      </c>
      <c r="I421" s="321">
        <f>IF(year=bargiri[[#This Row],[سال]],1,0)</f>
        <v>1</v>
      </c>
      <c r="X421" s="1"/>
      <c r="Y421" s="1"/>
      <c r="Z421" s="1"/>
    </row>
    <row r="422" spans="1:26" ht="18.600000000000001" x14ac:dyDescent="0.25">
      <c r="A422" s="321" t="s">
        <v>519</v>
      </c>
      <c r="B422" s="321" t="s">
        <v>118</v>
      </c>
      <c r="C422" s="318" t="s">
        <v>84</v>
      </c>
      <c r="D422">
        <v>20990</v>
      </c>
      <c r="E422" s="143">
        <v>57273</v>
      </c>
      <c r="F422" s="117">
        <v>1404</v>
      </c>
      <c r="G422" s="321" t="s">
        <v>305</v>
      </c>
      <c r="H422" s="144">
        <f>bargiri[[#This Row],[میزان بارگیری شده]]*bargiri[[#This Row],[فی]]</f>
        <v>1202160270</v>
      </c>
      <c r="I422" s="321">
        <f>IF(year=bargiri[[#This Row],[سال]],1,0)</f>
        <v>1</v>
      </c>
      <c r="X422" s="1"/>
      <c r="Y422" s="1"/>
      <c r="Z422" s="1"/>
    </row>
    <row r="423" spans="1:26" ht="18.600000000000001" x14ac:dyDescent="0.25">
      <c r="A423" s="321" t="s">
        <v>519</v>
      </c>
      <c r="B423" s="321" t="s">
        <v>118</v>
      </c>
      <c r="C423" s="318" t="s">
        <v>84</v>
      </c>
      <c r="D423">
        <v>20935</v>
      </c>
      <c r="E423" s="143">
        <v>57273</v>
      </c>
      <c r="F423" s="117">
        <v>1404</v>
      </c>
      <c r="G423" s="321" t="s">
        <v>305</v>
      </c>
      <c r="H423" s="144">
        <f>bargiri[[#This Row],[میزان بارگیری شده]]*bargiri[[#This Row],[فی]]</f>
        <v>1199010255</v>
      </c>
      <c r="I423" s="321">
        <f>IF(year=bargiri[[#This Row],[سال]],1,0)</f>
        <v>1</v>
      </c>
      <c r="X423" s="1"/>
      <c r="Y423" s="1"/>
      <c r="Z423" s="1"/>
    </row>
    <row r="424" spans="1:26" ht="18.600000000000001" hidden="1" x14ac:dyDescent="0.25">
      <c r="A424" s="321" t="s">
        <v>520</v>
      </c>
      <c r="B424" s="321" t="s">
        <v>109</v>
      </c>
      <c r="C424" s="318" t="s">
        <v>56</v>
      </c>
      <c r="D424">
        <v>7430</v>
      </c>
      <c r="E424" s="143">
        <v>100000</v>
      </c>
      <c r="F424" s="117">
        <v>1404</v>
      </c>
      <c r="G424" s="321" t="s">
        <v>305</v>
      </c>
      <c r="H424" s="144">
        <f>bargiri[[#This Row],[میزان بارگیری شده]]*bargiri[[#This Row],[فی]]</f>
        <v>743000000</v>
      </c>
      <c r="I424" s="321">
        <f>IF(year=bargiri[[#This Row],[سال]],1,0)</f>
        <v>1</v>
      </c>
      <c r="X424" s="1"/>
      <c r="Y424" s="1"/>
      <c r="Z424" s="1"/>
    </row>
    <row r="425" spans="1:26" ht="18.600000000000001" hidden="1" x14ac:dyDescent="0.25">
      <c r="A425" s="321" t="s">
        <v>520</v>
      </c>
      <c r="B425" s="321" t="s">
        <v>102</v>
      </c>
      <c r="C425" s="318" t="s">
        <v>24</v>
      </c>
      <c r="D425">
        <v>11305</v>
      </c>
      <c r="E425" s="143">
        <v>70000</v>
      </c>
      <c r="F425" s="117">
        <v>1404</v>
      </c>
      <c r="G425" s="321" t="s">
        <v>305</v>
      </c>
      <c r="H425" s="144">
        <f>bargiri[[#This Row],[میزان بارگیری شده]]*bargiri[[#This Row],[فی]]</f>
        <v>791350000</v>
      </c>
      <c r="I425" s="321">
        <f>IF(year=bargiri[[#This Row],[سال]],1,0)</f>
        <v>1</v>
      </c>
      <c r="X425" s="1"/>
      <c r="Y425" s="1"/>
      <c r="Z425" s="1"/>
    </row>
    <row r="426" spans="1:26" ht="18.600000000000001" hidden="1" x14ac:dyDescent="0.25">
      <c r="A426" s="321" t="s">
        <v>520</v>
      </c>
      <c r="B426" s="321" t="s">
        <v>114</v>
      </c>
      <c r="C426" s="318" t="s">
        <v>62</v>
      </c>
      <c r="D426">
        <v>21185</v>
      </c>
      <c r="E426" s="143">
        <v>75000</v>
      </c>
      <c r="F426" s="117">
        <v>1404</v>
      </c>
      <c r="G426" s="321" t="s">
        <v>305</v>
      </c>
      <c r="H426" s="144">
        <f>bargiri[[#This Row],[میزان بارگیری شده]]*bargiri[[#This Row],[فی]]</f>
        <v>1588875000</v>
      </c>
      <c r="I426" s="321">
        <f>IF(year=bargiri[[#This Row],[سال]],1,0)</f>
        <v>1</v>
      </c>
      <c r="X426" s="1"/>
      <c r="Y426" s="1"/>
      <c r="Z426" s="1"/>
    </row>
    <row r="427" spans="1:26" ht="18.600000000000001" hidden="1" x14ac:dyDescent="0.25">
      <c r="A427" s="321" t="s">
        <v>520</v>
      </c>
      <c r="B427" s="321" t="s">
        <v>113</v>
      </c>
      <c r="C427" s="318" t="s">
        <v>61</v>
      </c>
      <c r="D427">
        <v>9805</v>
      </c>
      <c r="E427" s="143">
        <v>75000</v>
      </c>
      <c r="F427" s="117">
        <v>1404</v>
      </c>
      <c r="G427" s="321" t="s">
        <v>305</v>
      </c>
      <c r="H427" s="144">
        <f>bargiri[[#This Row],[میزان بارگیری شده]]*bargiri[[#This Row],[فی]]</f>
        <v>735375000</v>
      </c>
      <c r="I427" s="321">
        <f>IF(year=bargiri[[#This Row],[سال]],1,0)</f>
        <v>1</v>
      </c>
      <c r="X427" s="1"/>
      <c r="Y427" s="1"/>
      <c r="Z427" s="1"/>
    </row>
    <row r="428" spans="1:26" ht="18.600000000000001" hidden="1" x14ac:dyDescent="0.25">
      <c r="A428" s="321" t="s">
        <v>520</v>
      </c>
      <c r="B428" s="321" t="s">
        <v>120</v>
      </c>
      <c r="C428" s="318" t="s">
        <v>88</v>
      </c>
      <c r="D428">
        <v>8490</v>
      </c>
      <c r="E428" s="143">
        <v>80000</v>
      </c>
      <c r="F428" s="117">
        <v>1404</v>
      </c>
      <c r="G428" s="321" t="s">
        <v>305</v>
      </c>
      <c r="H428" s="144">
        <f>bargiri[[#This Row],[میزان بارگیری شده]]*bargiri[[#This Row],[فی]]</f>
        <v>679200000</v>
      </c>
      <c r="I428" s="321">
        <f>IF(year=bargiri[[#This Row],[سال]],1,0)</f>
        <v>1</v>
      </c>
      <c r="X428" s="1"/>
      <c r="Y428" s="1"/>
      <c r="Z428" s="1"/>
    </row>
    <row r="429" spans="1:26" ht="18.600000000000001" hidden="1" x14ac:dyDescent="0.25">
      <c r="A429" s="321" t="s">
        <v>521</v>
      </c>
      <c r="B429" s="321" t="s">
        <v>116</v>
      </c>
      <c r="C429" s="318" t="s">
        <v>77</v>
      </c>
      <c r="D429">
        <v>7285</v>
      </c>
      <c r="E429" s="143">
        <v>68500</v>
      </c>
      <c r="F429" s="117">
        <v>1404</v>
      </c>
      <c r="G429" s="321" t="s">
        <v>305</v>
      </c>
      <c r="H429" s="144">
        <f>bargiri[[#This Row],[میزان بارگیری شده]]*bargiri[[#This Row],[فی]]</f>
        <v>499022500</v>
      </c>
      <c r="I429" s="321">
        <f>IF(year=bargiri[[#This Row],[سال]],1,0)</f>
        <v>1</v>
      </c>
      <c r="X429" s="1"/>
      <c r="Y429" s="1"/>
      <c r="Z429" s="1"/>
    </row>
    <row r="430" spans="1:26" ht="18.600000000000001" hidden="1" x14ac:dyDescent="0.25">
      <c r="A430" s="321" t="s">
        <v>521</v>
      </c>
      <c r="B430" s="321" t="s">
        <v>98</v>
      </c>
      <c r="C430" s="318" t="s">
        <v>6</v>
      </c>
      <c r="D430">
        <v>9955</v>
      </c>
      <c r="E430" s="143">
        <v>92180</v>
      </c>
      <c r="F430" s="117">
        <v>1404</v>
      </c>
      <c r="G430" s="321" t="s">
        <v>305</v>
      </c>
      <c r="H430" s="144">
        <f>bargiri[[#This Row],[میزان بارگیری شده]]*bargiri[[#This Row],[فی]]</f>
        <v>917651900</v>
      </c>
      <c r="I430" s="321">
        <f>IF(year=bargiri[[#This Row],[سال]],1,0)</f>
        <v>1</v>
      </c>
      <c r="X430" s="1"/>
      <c r="Y430" s="1"/>
      <c r="Z430" s="1"/>
    </row>
    <row r="431" spans="1:26" ht="18.600000000000001" hidden="1" x14ac:dyDescent="0.25">
      <c r="A431" s="321" t="s">
        <v>521</v>
      </c>
      <c r="B431" s="321" t="s">
        <v>98</v>
      </c>
      <c r="C431" s="318" t="s">
        <v>3</v>
      </c>
      <c r="D431">
        <v>10240</v>
      </c>
      <c r="E431" s="143">
        <v>65000</v>
      </c>
      <c r="F431" s="117">
        <v>1404</v>
      </c>
      <c r="G431" s="321" t="s">
        <v>305</v>
      </c>
      <c r="H431" s="144">
        <f>bargiri[[#This Row],[میزان بارگیری شده]]*bargiri[[#This Row],[فی]]</f>
        <v>665600000</v>
      </c>
      <c r="I431" s="321">
        <f>IF(year=bargiri[[#This Row],[سال]],1,0)</f>
        <v>1</v>
      </c>
      <c r="X431" s="1"/>
      <c r="Y431" s="1"/>
      <c r="Z431" s="1"/>
    </row>
    <row r="432" spans="1:26" ht="18.600000000000001" x14ac:dyDescent="0.25">
      <c r="A432" s="321" t="s">
        <v>521</v>
      </c>
      <c r="B432" s="321" t="s">
        <v>118</v>
      </c>
      <c r="C432" s="318" t="s">
        <v>84</v>
      </c>
      <c r="D432">
        <v>20460</v>
      </c>
      <c r="E432" s="143">
        <v>57273</v>
      </c>
      <c r="F432" s="117">
        <v>1404</v>
      </c>
      <c r="G432" s="321" t="s">
        <v>305</v>
      </c>
      <c r="H432" s="144">
        <f>bargiri[[#This Row],[میزان بارگیری شده]]*bargiri[[#This Row],[فی]]</f>
        <v>1171805580</v>
      </c>
      <c r="I432" s="321">
        <f>IF(year=bargiri[[#This Row],[سال]],1,0)</f>
        <v>1</v>
      </c>
      <c r="X432" s="1"/>
      <c r="Y432" s="1"/>
      <c r="Z432" s="1"/>
    </row>
    <row r="433" spans="1:26" ht="18.600000000000001" x14ac:dyDescent="0.25">
      <c r="A433" s="321" t="s">
        <v>521</v>
      </c>
      <c r="B433" s="321" t="s">
        <v>118</v>
      </c>
      <c r="C433" s="318" t="s">
        <v>84</v>
      </c>
      <c r="D433">
        <v>20515</v>
      </c>
      <c r="E433" s="143">
        <v>57273</v>
      </c>
      <c r="F433" s="117">
        <v>1404</v>
      </c>
      <c r="G433" s="321" t="s">
        <v>305</v>
      </c>
      <c r="H433" s="144">
        <f>bargiri[[#This Row],[میزان بارگیری شده]]*bargiri[[#This Row],[فی]]</f>
        <v>1174955595</v>
      </c>
      <c r="I433" s="321">
        <f>IF(year=bargiri[[#This Row],[سال]],1,0)</f>
        <v>1</v>
      </c>
      <c r="X433" s="1"/>
      <c r="Y433" s="1"/>
      <c r="Z433" s="1"/>
    </row>
    <row r="434" spans="1:26" ht="18.600000000000001" x14ac:dyDescent="0.25">
      <c r="A434" s="321" t="s">
        <v>521</v>
      </c>
      <c r="B434" s="321" t="s">
        <v>118</v>
      </c>
      <c r="C434" s="318" t="s">
        <v>84</v>
      </c>
      <c r="D434">
        <v>20615</v>
      </c>
      <c r="E434" s="143">
        <v>57273</v>
      </c>
      <c r="F434" s="117">
        <v>1404</v>
      </c>
      <c r="G434" s="321" t="s">
        <v>305</v>
      </c>
      <c r="H434" s="144">
        <f>bargiri[[#This Row],[میزان بارگیری شده]]*bargiri[[#This Row],[فی]]</f>
        <v>1180682895</v>
      </c>
      <c r="I434" s="321">
        <f>IF(year=bargiri[[#This Row],[سال]],1,0)</f>
        <v>1</v>
      </c>
      <c r="X434" s="1"/>
      <c r="Y434" s="1"/>
      <c r="Z434" s="1"/>
    </row>
    <row r="435" spans="1:26" ht="18.600000000000001" hidden="1" x14ac:dyDescent="0.25">
      <c r="A435" s="321" t="s">
        <v>521</v>
      </c>
      <c r="B435" s="321" t="s">
        <v>109</v>
      </c>
      <c r="C435" s="318" t="s">
        <v>56</v>
      </c>
      <c r="D435">
        <v>7380</v>
      </c>
      <c r="E435" s="143">
        <v>100000</v>
      </c>
      <c r="F435" s="117">
        <v>1404</v>
      </c>
      <c r="G435" s="321" t="s">
        <v>305</v>
      </c>
      <c r="H435" s="144">
        <f>bargiri[[#This Row],[میزان بارگیری شده]]*bargiri[[#This Row],[فی]]</f>
        <v>738000000</v>
      </c>
      <c r="I435" s="321">
        <f>IF(year=bargiri[[#This Row],[سال]],1,0)</f>
        <v>1</v>
      </c>
      <c r="X435" s="1"/>
      <c r="Y435" s="1"/>
      <c r="Z435" s="1"/>
    </row>
    <row r="436" spans="1:26" ht="18.600000000000001" hidden="1" x14ac:dyDescent="0.25">
      <c r="A436" s="321" t="s">
        <v>521</v>
      </c>
      <c r="B436" s="321" t="s">
        <v>116</v>
      </c>
      <c r="C436" s="318" t="s">
        <v>77</v>
      </c>
      <c r="D436">
        <v>17875</v>
      </c>
      <c r="E436" s="143">
        <v>68500</v>
      </c>
      <c r="F436" s="117">
        <v>1404</v>
      </c>
      <c r="G436" s="321" t="s">
        <v>305</v>
      </c>
      <c r="H436" s="144">
        <f>bargiri[[#This Row],[میزان بارگیری شده]]*bargiri[[#This Row],[فی]]</f>
        <v>1224437500</v>
      </c>
      <c r="I436" s="321">
        <f>IF(year=bargiri[[#This Row],[سال]],1,0)</f>
        <v>1</v>
      </c>
      <c r="X436" s="1"/>
      <c r="Y436" s="1"/>
      <c r="Z436" s="1"/>
    </row>
    <row r="437" spans="1:26" ht="18.600000000000001" hidden="1" x14ac:dyDescent="0.25">
      <c r="A437" s="321" t="s">
        <v>522</v>
      </c>
      <c r="B437" s="321" t="s">
        <v>116</v>
      </c>
      <c r="C437" s="318" t="s">
        <v>77</v>
      </c>
      <c r="D437">
        <v>18890</v>
      </c>
      <c r="E437" s="143">
        <v>68500</v>
      </c>
      <c r="F437" s="117">
        <v>1404</v>
      </c>
      <c r="G437" s="321" t="s">
        <v>305</v>
      </c>
      <c r="H437" s="144">
        <f>bargiri[[#This Row],[میزان بارگیری شده]]*bargiri[[#This Row],[فی]]</f>
        <v>1293965000</v>
      </c>
      <c r="I437" s="321">
        <f>IF(year=bargiri[[#This Row],[سال]],1,0)</f>
        <v>1</v>
      </c>
      <c r="X437" s="1"/>
      <c r="Y437" s="1"/>
      <c r="Z437" s="1"/>
    </row>
    <row r="438" spans="1:26" ht="18.600000000000001" hidden="1" x14ac:dyDescent="0.25">
      <c r="A438" s="321" t="s">
        <v>522</v>
      </c>
      <c r="B438" s="321" t="s">
        <v>101</v>
      </c>
      <c r="C438" s="318" t="s">
        <v>19</v>
      </c>
      <c r="D438">
        <v>21055</v>
      </c>
      <c r="E438" s="143">
        <v>75000</v>
      </c>
      <c r="F438" s="117">
        <v>1404</v>
      </c>
      <c r="G438" s="321" t="s">
        <v>305</v>
      </c>
      <c r="H438" s="144">
        <f>bargiri[[#This Row],[میزان بارگیری شده]]*bargiri[[#This Row],[فی]]</f>
        <v>1579125000</v>
      </c>
      <c r="I438" s="321">
        <f>IF(year=bargiri[[#This Row],[سال]],1,0)</f>
        <v>1</v>
      </c>
      <c r="X438" s="1"/>
      <c r="Y438" s="1"/>
      <c r="Z438" s="1"/>
    </row>
    <row r="439" spans="1:26" ht="18.600000000000001" hidden="1" x14ac:dyDescent="0.25">
      <c r="A439" s="321" t="s">
        <v>522</v>
      </c>
      <c r="B439" s="321" t="s">
        <v>102</v>
      </c>
      <c r="C439" s="318" t="s">
        <v>24</v>
      </c>
      <c r="D439">
        <v>12030</v>
      </c>
      <c r="E439" s="143">
        <v>70000</v>
      </c>
      <c r="F439" s="117">
        <v>1404</v>
      </c>
      <c r="G439" s="321" t="s">
        <v>305</v>
      </c>
      <c r="H439" s="144">
        <f>bargiri[[#This Row],[میزان بارگیری شده]]*bargiri[[#This Row],[فی]]</f>
        <v>842100000</v>
      </c>
      <c r="I439" s="321">
        <f>IF(year=bargiri[[#This Row],[سال]],1,0)</f>
        <v>1</v>
      </c>
      <c r="X439" s="1"/>
      <c r="Y439" s="1"/>
      <c r="Z439" s="1"/>
    </row>
    <row r="440" spans="1:26" ht="18.600000000000001" hidden="1" x14ac:dyDescent="0.25">
      <c r="A440" s="321" t="s">
        <v>522</v>
      </c>
      <c r="B440" s="321" t="s">
        <v>117</v>
      </c>
      <c r="C440" s="318" t="s">
        <v>79</v>
      </c>
      <c r="D440">
        <v>20040</v>
      </c>
      <c r="E440" s="143">
        <v>75000</v>
      </c>
      <c r="F440" s="117">
        <v>1404</v>
      </c>
      <c r="G440" s="321" t="s">
        <v>305</v>
      </c>
      <c r="H440" s="144">
        <f>bargiri[[#This Row],[میزان بارگیری شده]]*bargiri[[#This Row],[فی]]</f>
        <v>1503000000</v>
      </c>
      <c r="I440" s="321">
        <f>IF(year=bargiri[[#This Row],[سال]],1,0)</f>
        <v>1</v>
      </c>
      <c r="X440" s="1"/>
      <c r="Y440" s="1"/>
      <c r="Z440" s="1"/>
    </row>
    <row r="441" spans="1:26" ht="18.600000000000001" hidden="1" x14ac:dyDescent="0.25">
      <c r="A441" s="321" t="s">
        <v>523</v>
      </c>
      <c r="B441" s="321" t="s">
        <v>106</v>
      </c>
      <c r="C441" s="318" t="s">
        <v>45</v>
      </c>
      <c r="D441">
        <v>13320</v>
      </c>
      <c r="E441" s="143">
        <v>80000</v>
      </c>
      <c r="F441" s="117">
        <v>1404</v>
      </c>
      <c r="G441" s="321" t="s">
        <v>305</v>
      </c>
      <c r="H441" s="144">
        <f>bargiri[[#This Row],[میزان بارگیری شده]]*bargiri[[#This Row],[فی]]</f>
        <v>1065600000</v>
      </c>
      <c r="I441" s="321">
        <f>IF(year=bargiri[[#This Row],[سال]],1,0)</f>
        <v>1</v>
      </c>
      <c r="X441" s="1"/>
      <c r="Y441" s="1"/>
      <c r="Z441" s="1"/>
    </row>
    <row r="442" spans="1:26" ht="18.600000000000001" hidden="1" x14ac:dyDescent="0.25">
      <c r="A442" s="321" t="s">
        <v>523</v>
      </c>
      <c r="B442" s="321" t="s">
        <v>106</v>
      </c>
      <c r="C442" s="318" t="s">
        <v>44</v>
      </c>
      <c r="D442">
        <v>7705</v>
      </c>
      <c r="E442" s="143">
        <v>80000</v>
      </c>
      <c r="F442" s="117">
        <v>1404</v>
      </c>
      <c r="G442" s="321" t="s">
        <v>305</v>
      </c>
      <c r="H442" s="144">
        <f>bargiri[[#This Row],[میزان بارگیری شده]]*bargiri[[#This Row],[فی]]</f>
        <v>616400000</v>
      </c>
      <c r="I442" s="321">
        <f>IF(year=bargiri[[#This Row],[سال]],1,0)</f>
        <v>1</v>
      </c>
      <c r="X442" s="1"/>
      <c r="Y442" s="1"/>
      <c r="Z442" s="1"/>
    </row>
    <row r="443" spans="1:26" ht="18.600000000000001" hidden="1" x14ac:dyDescent="0.25">
      <c r="A443" s="321" t="s">
        <v>523</v>
      </c>
      <c r="B443" s="321" t="s">
        <v>109</v>
      </c>
      <c r="C443" s="318" t="s">
        <v>56</v>
      </c>
      <c r="D443">
        <v>7510</v>
      </c>
      <c r="E443" s="143">
        <v>100000</v>
      </c>
      <c r="F443" s="117">
        <v>1404</v>
      </c>
      <c r="G443" s="321" t="s">
        <v>305</v>
      </c>
      <c r="H443" s="144">
        <f>bargiri[[#This Row],[میزان بارگیری شده]]*bargiri[[#This Row],[فی]]</f>
        <v>751000000</v>
      </c>
      <c r="I443" s="321">
        <f>IF(year=bargiri[[#This Row],[سال]],1,0)</f>
        <v>1</v>
      </c>
      <c r="X443" s="1"/>
      <c r="Y443" s="1"/>
      <c r="Z443" s="1"/>
    </row>
    <row r="444" spans="1:26" ht="18.600000000000001" hidden="1" x14ac:dyDescent="0.25">
      <c r="A444" s="321" t="s">
        <v>523</v>
      </c>
      <c r="B444" s="321" t="s">
        <v>103</v>
      </c>
      <c r="C444" s="318" t="s">
        <v>29</v>
      </c>
      <c r="D444">
        <v>4965</v>
      </c>
      <c r="E444" s="143">
        <v>75000</v>
      </c>
      <c r="F444" s="117">
        <v>1404</v>
      </c>
      <c r="G444" s="321" t="s">
        <v>305</v>
      </c>
      <c r="H444" s="144">
        <f>bargiri[[#This Row],[میزان بارگیری شده]]*bargiri[[#This Row],[فی]]</f>
        <v>372375000</v>
      </c>
      <c r="I444" s="321">
        <f>IF(year=bargiri[[#This Row],[سال]],1,0)</f>
        <v>1</v>
      </c>
      <c r="X444" s="1"/>
      <c r="Y444" s="1"/>
      <c r="Z444" s="1"/>
    </row>
    <row r="445" spans="1:26" ht="18.600000000000001" hidden="1" x14ac:dyDescent="0.25">
      <c r="A445" s="321" t="s">
        <v>523</v>
      </c>
      <c r="B445" s="321" t="s">
        <v>107</v>
      </c>
      <c r="C445" s="318" t="s">
        <v>50</v>
      </c>
      <c r="D445">
        <v>18765</v>
      </c>
      <c r="E445" s="143">
        <v>70000</v>
      </c>
      <c r="F445" s="117">
        <v>1404</v>
      </c>
      <c r="G445" s="321" t="s">
        <v>305</v>
      </c>
      <c r="H445" s="144">
        <f>bargiri[[#This Row],[میزان بارگیری شده]]*bargiri[[#This Row],[فی]]</f>
        <v>1313550000</v>
      </c>
      <c r="I445" s="321">
        <f>IF(year=bargiri[[#This Row],[سال]],1,0)</f>
        <v>1</v>
      </c>
      <c r="X445" s="1"/>
      <c r="Y445" s="1"/>
      <c r="Z445" s="1"/>
    </row>
    <row r="446" spans="1:26" ht="18.600000000000001" x14ac:dyDescent="0.25">
      <c r="A446" s="321" t="s">
        <v>523</v>
      </c>
      <c r="B446" s="321" t="s">
        <v>118</v>
      </c>
      <c r="C446" s="318" t="s">
        <v>84</v>
      </c>
      <c r="D446">
        <v>21070</v>
      </c>
      <c r="E446" s="143">
        <v>57273</v>
      </c>
      <c r="F446" s="117">
        <v>1404</v>
      </c>
      <c r="G446" s="321" t="s">
        <v>305</v>
      </c>
      <c r="H446" s="144">
        <f>bargiri[[#This Row],[میزان بارگیری شده]]*bargiri[[#This Row],[فی]]</f>
        <v>1206742110</v>
      </c>
      <c r="I446" s="321">
        <f>IF(year=bargiri[[#This Row],[سال]],1,0)</f>
        <v>1</v>
      </c>
      <c r="X446" s="1"/>
      <c r="Y446" s="1"/>
      <c r="Z446" s="1"/>
    </row>
    <row r="447" spans="1:26" ht="18.600000000000001" x14ac:dyDescent="0.25">
      <c r="A447" s="321" t="s">
        <v>523</v>
      </c>
      <c r="B447" s="321" t="s">
        <v>118</v>
      </c>
      <c r="C447" s="318" t="s">
        <v>84</v>
      </c>
      <c r="D447">
        <v>20565</v>
      </c>
      <c r="E447" s="143">
        <v>57273</v>
      </c>
      <c r="F447" s="117">
        <v>1404</v>
      </c>
      <c r="G447" s="321" t="s">
        <v>305</v>
      </c>
      <c r="H447" s="144">
        <f>bargiri[[#This Row],[میزان بارگیری شده]]*bargiri[[#This Row],[فی]]</f>
        <v>1177819245</v>
      </c>
      <c r="I447" s="321">
        <f>IF(year=bargiri[[#This Row],[سال]],1,0)</f>
        <v>1</v>
      </c>
      <c r="X447" s="1"/>
      <c r="Y447" s="1"/>
      <c r="Z447" s="1"/>
    </row>
    <row r="448" spans="1:26" ht="18.600000000000001" x14ac:dyDescent="0.25">
      <c r="A448" s="321" t="s">
        <v>523</v>
      </c>
      <c r="B448" s="321" t="s">
        <v>118</v>
      </c>
      <c r="C448" s="318" t="s">
        <v>84</v>
      </c>
      <c r="D448">
        <v>20780</v>
      </c>
      <c r="E448" s="143">
        <v>57273</v>
      </c>
      <c r="F448" s="117">
        <v>1404</v>
      </c>
      <c r="G448" s="321" t="s">
        <v>305</v>
      </c>
      <c r="H448" s="144">
        <f>bargiri[[#This Row],[میزان بارگیری شده]]*bargiri[[#This Row],[فی]]</f>
        <v>1190132940</v>
      </c>
      <c r="I448" s="321">
        <f>IF(year=bargiri[[#This Row],[سال]],1,0)</f>
        <v>1</v>
      </c>
      <c r="X448" s="1"/>
      <c r="Y448" s="1"/>
      <c r="Z448" s="1"/>
    </row>
    <row r="449" spans="1:26" ht="18.600000000000001" hidden="1" x14ac:dyDescent="0.25">
      <c r="A449" s="321" t="s">
        <v>524</v>
      </c>
      <c r="B449" s="321" t="s">
        <v>113</v>
      </c>
      <c r="C449" s="318" t="s">
        <v>61</v>
      </c>
      <c r="D449">
        <v>19100</v>
      </c>
      <c r="E449" s="143">
        <v>75000</v>
      </c>
      <c r="F449" s="117">
        <v>1404</v>
      </c>
      <c r="G449" s="321" t="s">
        <v>305</v>
      </c>
      <c r="H449" s="144">
        <f>bargiri[[#This Row],[میزان بارگیری شده]]*bargiri[[#This Row],[فی]]</f>
        <v>1432500000</v>
      </c>
      <c r="I449" s="321">
        <f>IF(year=bargiri[[#This Row],[سال]],1,0)</f>
        <v>1</v>
      </c>
      <c r="X449" s="1"/>
      <c r="Y449" s="1"/>
      <c r="Z449" s="1"/>
    </row>
    <row r="450" spans="1:26" ht="18.600000000000001" hidden="1" x14ac:dyDescent="0.25">
      <c r="A450" s="321" t="s">
        <v>524</v>
      </c>
      <c r="B450" s="321" t="s">
        <v>107</v>
      </c>
      <c r="C450" s="318" t="s">
        <v>50</v>
      </c>
      <c r="D450">
        <v>9955</v>
      </c>
      <c r="E450" s="143">
        <v>70000</v>
      </c>
      <c r="F450" s="117">
        <v>1404</v>
      </c>
      <c r="G450" s="321" t="s">
        <v>305</v>
      </c>
      <c r="H450" s="144">
        <f>bargiri[[#This Row],[میزان بارگیری شده]]*bargiri[[#This Row],[فی]]</f>
        <v>696850000</v>
      </c>
      <c r="I450" s="321">
        <f>IF(year=bargiri[[#This Row],[سال]],1,0)</f>
        <v>1</v>
      </c>
      <c r="X450" s="1"/>
      <c r="Y450" s="1"/>
      <c r="Z450" s="1"/>
    </row>
    <row r="451" spans="1:26" ht="18.600000000000001" hidden="1" x14ac:dyDescent="0.25">
      <c r="A451" s="321" t="s">
        <v>524</v>
      </c>
      <c r="B451" s="321" t="s">
        <v>113</v>
      </c>
      <c r="C451" s="318" t="s">
        <v>61</v>
      </c>
      <c r="D451">
        <v>18120</v>
      </c>
      <c r="E451" s="143">
        <v>75000</v>
      </c>
      <c r="F451" s="117">
        <v>1404</v>
      </c>
      <c r="G451" s="321" t="s">
        <v>305</v>
      </c>
      <c r="H451" s="144">
        <f>bargiri[[#This Row],[میزان بارگیری شده]]*bargiri[[#This Row],[فی]]</f>
        <v>1359000000</v>
      </c>
      <c r="I451" s="321">
        <f>IF(year=bargiri[[#This Row],[سال]],1,0)</f>
        <v>1</v>
      </c>
      <c r="X451" s="1"/>
      <c r="Y451" s="1"/>
      <c r="Z451" s="1"/>
    </row>
    <row r="452" spans="1:26" ht="18.600000000000001" hidden="1" x14ac:dyDescent="0.25">
      <c r="A452" s="321" t="s">
        <v>524</v>
      </c>
      <c r="B452" s="321" t="s">
        <v>120</v>
      </c>
      <c r="C452" s="318" t="s">
        <v>88</v>
      </c>
      <c r="D452">
        <v>9055</v>
      </c>
      <c r="E452" s="143">
        <v>80000</v>
      </c>
      <c r="F452" s="117">
        <v>1404</v>
      </c>
      <c r="G452" s="321" t="s">
        <v>305</v>
      </c>
      <c r="H452" s="144">
        <f>bargiri[[#This Row],[میزان بارگیری شده]]*bargiri[[#This Row],[فی]]</f>
        <v>724400000</v>
      </c>
      <c r="I452" s="321">
        <f>IF(year=bargiri[[#This Row],[سال]],1,0)</f>
        <v>1</v>
      </c>
      <c r="X452" s="1"/>
      <c r="Y452" s="1"/>
      <c r="Z452" s="1"/>
    </row>
    <row r="453" spans="1:26" ht="18.600000000000001" hidden="1" x14ac:dyDescent="0.25">
      <c r="A453" s="321" t="s">
        <v>525</v>
      </c>
      <c r="B453" s="321" t="s">
        <v>102</v>
      </c>
      <c r="C453" s="318" t="s">
        <v>24</v>
      </c>
      <c r="D453">
        <v>10495</v>
      </c>
      <c r="E453" s="143">
        <v>70000</v>
      </c>
      <c r="F453" s="117">
        <v>1404</v>
      </c>
      <c r="G453" s="321" t="s">
        <v>305</v>
      </c>
      <c r="H453" s="144">
        <f>bargiri[[#This Row],[میزان بارگیری شده]]*bargiri[[#This Row],[فی]]</f>
        <v>734650000</v>
      </c>
      <c r="I453" s="321">
        <f>IF(year=bargiri[[#This Row],[سال]],1,0)</f>
        <v>1</v>
      </c>
      <c r="X453" s="1"/>
      <c r="Y453" s="1"/>
      <c r="Z453" s="1"/>
    </row>
    <row r="454" spans="1:26" ht="18.600000000000001" hidden="1" x14ac:dyDescent="0.25">
      <c r="A454" s="321" t="s">
        <v>525</v>
      </c>
      <c r="B454" s="321" t="s">
        <v>107</v>
      </c>
      <c r="C454" s="318" t="s">
        <v>50</v>
      </c>
      <c r="D454">
        <v>17765</v>
      </c>
      <c r="E454" s="143">
        <v>70000</v>
      </c>
      <c r="F454" s="117">
        <v>1404</v>
      </c>
      <c r="G454" s="321" t="s">
        <v>305</v>
      </c>
      <c r="H454" s="144">
        <f>bargiri[[#This Row],[میزان بارگیری شده]]*bargiri[[#This Row],[فی]]</f>
        <v>1243550000</v>
      </c>
      <c r="I454" s="321">
        <f>IF(year=bargiri[[#This Row],[سال]],1,0)</f>
        <v>1</v>
      </c>
      <c r="X454" s="1"/>
      <c r="Y454" s="1"/>
      <c r="Z454" s="1"/>
    </row>
    <row r="455" spans="1:26" ht="18.600000000000001" hidden="1" x14ac:dyDescent="0.25">
      <c r="A455" s="321" t="s">
        <v>525</v>
      </c>
      <c r="B455" s="321" t="s">
        <v>125</v>
      </c>
      <c r="C455" s="318" t="s">
        <v>96</v>
      </c>
      <c r="D455">
        <v>14400</v>
      </c>
      <c r="E455" s="143">
        <v>100000</v>
      </c>
      <c r="F455" s="117">
        <v>1404</v>
      </c>
      <c r="G455" s="321" t="s">
        <v>305</v>
      </c>
      <c r="H455" s="144">
        <f>bargiri[[#This Row],[میزان بارگیری شده]]*bargiri[[#This Row],[فی]]</f>
        <v>1440000000</v>
      </c>
      <c r="I455" s="321">
        <f>IF(year=bargiri[[#This Row],[سال]],1,0)</f>
        <v>1</v>
      </c>
      <c r="X455" s="1"/>
      <c r="Y455" s="1"/>
      <c r="Z455" s="1"/>
    </row>
    <row r="456" spans="1:26" ht="18.600000000000001" hidden="1" x14ac:dyDescent="0.25">
      <c r="A456" s="321" t="s">
        <v>525</v>
      </c>
      <c r="B456" s="321" t="s">
        <v>98</v>
      </c>
      <c r="C456" s="318" t="s">
        <v>4</v>
      </c>
      <c r="D456">
        <v>10065</v>
      </c>
      <c r="E456" s="143">
        <v>65000</v>
      </c>
      <c r="F456" s="117">
        <v>1404</v>
      </c>
      <c r="G456" s="321" t="s">
        <v>305</v>
      </c>
      <c r="H456" s="144">
        <f>bargiri[[#This Row],[میزان بارگیری شده]]*bargiri[[#This Row],[فی]]</f>
        <v>654225000</v>
      </c>
      <c r="I456" s="321">
        <f>IF(year=bargiri[[#This Row],[سال]],1,0)</f>
        <v>1</v>
      </c>
      <c r="X456" s="1"/>
      <c r="Y456" s="1"/>
      <c r="Z456" s="1"/>
    </row>
    <row r="457" spans="1:26" ht="18.600000000000001" hidden="1" x14ac:dyDescent="0.25">
      <c r="A457" s="321" t="s">
        <v>525</v>
      </c>
      <c r="B457" s="321" t="s">
        <v>98</v>
      </c>
      <c r="C457" s="318" t="s">
        <v>6</v>
      </c>
      <c r="D457">
        <v>10045</v>
      </c>
      <c r="E457" s="143">
        <v>92180</v>
      </c>
      <c r="F457" s="117">
        <v>1404</v>
      </c>
      <c r="G457" s="321" t="s">
        <v>305</v>
      </c>
      <c r="H457" s="144">
        <f>bargiri[[#This Row],[میزان بارگیری شده]]*bargiri[[#This Row],[فی]]</f>
        <v>925948100</v>
      </c>
      <c r="I457" s="321">
        <f>IF(year=bargiri[[#This Row],[سال]],1,0)</f>
        <v>1</v>
      </c>
      <c r="X457" s="1"/>
      <c r="Y457" s="1"/>
      <c r="Z457" s="1"/>
    </row>
    <row r="458" spans="1:26" ht="18.600000000000001" x14ac:dyDescent="0.25">
      <c r="A458" s="321" t="s">
        <v>498</v>
      </c>
      <c r="B458" s="321" t="s">
        <v>118</v>
      </c>
      <c r="C458" s="318" t="s">
        <v>84</v>
      </c>
      <c r="D458">
        <v>20370</v>
      </c>
      <c r="E458" s="143">
        <v>57273</v>
      </c>
      <c r="F458" s="117">
        <v>1404</v>
      </c>
      <c r="G458" s="321" t="s">
        <v>305</v>
      </c>
      <c r="H458" s="144">
        <f>bargiri[[#This Row],[میزان بارگیری شده]]*bargiri[[#This Row],[فی]]</f>
        <v>1166651010</v>
      </c>
      <c r="I458" s="321">
        <f>IF(year=bargiri[[#This Row],[سال]],1,0)</f>
        <v>1</v>
      </c>
      <c r="X458" s="1"/>
      <c r="Y458" s="1"/>
      <c r="Z458" s="1"/>
    </row>
    <row r="459" spans="1:26" ht="18.600000000000001" hidden="1" x14ac:dyDescent="0.25">
      <c r="A459" s="321" t="s">
        <v>498</v>
      </c>
      <c r="B459" s="321" t="s">
        <v>103</v>
      </c>
      <c r="C459" s="318" t="s">
        <v>29</v>
      </c>
      <c r="D459">
        <v>7285</v>
      </c>
      <c r="E459" s="143">
        <v>75000</v>
      </c>
      <c r="F459" s="117">
        <v>1404</v>
      </c>
      <c r="G459" s="321" t="s">
        <v>305</v>
      </c>
      <c r="H459" s="144">
        <f>bargiri[[#This Row],[میزان بارگیری شده]]*bargiri[[#This Row],[فی]]</f>
        <v>546375000</v>
      </c>
      <c r="I459" s="321">
        <f>IF(year=bargiri[[#This Row],[سال]],1,0)</f>
        <v>1</v>
      </c>
      <c r="X459" s="1"/>
      <c r="Y459" s="1"/>
      <c r="Z459" s="1"/>
    </row>
    <row r="460" spans="1:26" ht="18.600000000000001" hidden="1" x14ac:dyDescent="0.25">
      <c r="A460" s="321" t="s">
        <v>499</v>
      </c>
      <c r="B460" s="321" t="s">
        <v>121</v>
      </c>
      <c r="C460" s="318" t="s">
        <v>89</v>
      </c>
      <c r="D460">
        <v>17960</v>
      </c>
      <c r="E460" s="143">
        <v>100000</v>
      </c>
      <c r="F460" s="117">
        <v>1404</v>
      </c>
      <c r="G460" s="321" t="s">
        <v>305</v>
      </c>
      <c r="H460" s="144">
        <f>bargiri[[#This Row],[میزان بارگیری شده]]*bargiri[[#This Row],[فی]]</f>
        <v>1796000000</v>
      </c>
      <c r="I460" s="321">
        <f>IF(year=bargiri[[#This Row],[سال]],1,0)</f>
        <v>1</v>
      </c>
      <c r="X460" s="1"/>
      <c r="Y460" s="1"/>
      <c r="Z460" s="1"/>
    </row>
    <row r="461" spans="1:26" ht="18.600000000000001" hidden="1" x14ac:dyDescent="0.25">
      <c r="A461" s="321" t="s">
        <v>498</v>
      </c>
      <c r="B461" s="321" t="s">
        <v>103</v>
      </c>
      <c r="C461" s="318" t="s">
        <v>29</v>
      </c>
      <c r="D461">
        <v>7510</v>
      </c>
      <c r="E461" s="143">
        <v>75000</v>
      </c>
      <c r="F461" s="117">
        <v>1404</v>
      </c>
      <c r="G461" s="321" t="s">
        <v>305</v>
      </c>
      <c r="H461" s="144">
        <f>bargiri[[#This Row],[میزان بارگیری شده]]*bargiri[[#This Row],[فی]]</f>
        <v>563250000</v>
      </c>
      <c r="I461" s="321">
        <f>IF(year=bargiri[[#This Row],[سال]],1,0)</f>
        <v>1</v>
      </c>
      <c r="X461" s="1"/>
      <c r="Y461" s="1"/>
      <c r="Z461" s="1"/>
    </row>
    <row r="462" spans="1:26" ht="18.600000000000001" hidden="1" x14ac:dyDescent="0.25">
      <c r="A462" s="321" t="s">
        <v>498</v>
      </c>
      <c r="B462" s="321" t="s">
        <v>107</v>
      </c>
      <c r="C462" s="318" t="s">
        <v>50</v>
      </c>
      <c r="D462">
        <v>17880</v>
      </c>
      <c r="E462" s="143">
        <v>70000</v>
      </c>
      <c r="F462" s="117">
        <v>1404</v>
      </c>
      <c r="G462" s="321" t="s">
        <v>305</v>
      </c>
      <c r="H462" s="144">
        <f>bargiri[[#This Row],[میزان بارگیری شده]]*bargiri[[#This Row],[فی]]</f>
        <v>1251600000</v>
      </c>
      <c r="I462" s="321">
        <f>IF(year=bargiri[[#This Row],[سال]],1,0)</f>
        <v>1</v>
      </c>
      <c r="X462" s="1"/>
      <c r="Y462" s="1"/>
      <c r="Z462" s="1"/>
    </row>
    <row r="463" spans="1:26" ht="18.600000000000001" hidden="1" x14ac:dyDescent="0.25">
      <c r="A463" s="321" t="s">
        <v>499</v>
      </c>
      <c r="B463" s="321" t="s">
        <v>113</v>
      </c>
      <c r="C463" s="318" t="s">
        <v>61</v>
      </c>
      <c r="D463">
        <v>17855</v>
      </c>
      <c r="E463" s="143">
        <v>75000</v>
      </c>
      <c r="F463" s="117">
        <v>1404</v>
      </c>
      <c r="G463" s="321" t="s">
        <v>305</v>
      </c>
      <c r="H463" s="144">
        <f>bargiri[[#This Row],[میزان بارگیری شده]]*bargiri[[#This Row],[فی]]</f>
        <v>1339125000</v>
      </c>
      <c r="I463" s="321">
        <f>IF(year=bargiri[[#This Row],[سال]],1,0)</f>
        <v>1</v>
      </c>
      <c r="X463" s="1"/>
      <c r="Y463" s="1"/>
      <c r="Z463" s="1"/>
    </row>
    <row r="464" spans="1:26" ht="18.600000000000001" x14ac:dyDescent="0.25">
      <c r="A464" s="321" t="s">
        <v>499</v>
      </c>
      <c r="B464" s="321" t="s">
        <v>118</v>
      </c>
      <c r="C464" s="318" t="s">
        <v>84</v>
      </c>
      <c r="D464">
        <v>20475</v>
      </c>
      <c r="E464" s="143">
        <v>57273</v>
      </c>
      <c r="F464" s="117">
        <v>1404</v>
      </c>
      <c r="G464" s="321" t="s">
        <v>305</v>
      </c>
      <c r="H464" s="144">
        <f>bargiri[[#This Row],[میزان بارگیری شده]]*bargiri[[#This Row],[فی]]</f>
        <v>1172664675</v>
      </c>
      <c r="I464" s="321">
        <f>IF(year=bargiri[[#This Row],[سال]],1,0)</f>
        <v>1</v>
      </c>
      <c r="X464" s="1"/>
      <c r="Y464" s="1"/>
      <c r="Z464" s="1"/>
    </row>
    <row r="465" spans="1:26" ht="18.600000000000001" hidden="1" x14ac:dyDescent="0.25">
      <c r="A465" s="321" t="s">
        <v>499</v>
      </c>
      <c r="B465" s="321" t="s">
        <v>120</v>
      </c>
      <c r="C465" s="318" t="s">
        <v>88</v>
      </c>
      <c r="D465">
        <v>9065</v>
      </c>
      <c r="E465" s="143">
        <v>80000</v>
      </c>
      <c r="F465" s="117">
        <v>1404</v>
      </c>
      <c r="G465" s="321" t="s">
        <v>305</v>
      </c>
      <c r="H465" s="144">
        <f>bargiri[[#This Row],[میزان بارگیری شده]]*bargiri[[#This Row],[فی]]</f>
        <v>725200000</v>
      </c>
      <c r="I465" s="321">
        <f>IF(year=bargiri[[#This Row],[سال]],1,0)</f>
        <v>1</v>
      </c>
      <c r="X465" s="1"/>
      <c r="Y465" s="1"/>
      <c r="Z465" s="1"/>
    </row>
    <row r="466" spans="1:26" ht="18.600000000000001" x14ac:dyDescent="0.25">
      <c r="A466" s="321" t="s">
        <v>500</v>
      </c>
      <c r="B466" s="321" t="s">
        <v>118</v>
      </c>
      <c r="C466" s="318" t="s">
        <v>84</v>
      </c>
      <c r="D466">
        <v>20490</v>
      </c>
      <c r="E466" s="143">
        <v>57273</v>
      </c>
      <c r="F466" s="117">
        <v>1404</v>
      </c>
      <c r="G466" s="321" t="s">
        <v>305</v>
      </c>
      <c r="H466" s="144">
        <f>bargiri[[#This Row],[میزان بارگیری شده]]*bargiri[[#This Row],[فی]]</f>
        <v>1173523770</v>
      </c>
      <c r="I466" s="321">
        <f>IF(year=bargiri[[#This Row],[سال]],1,0)</f>
        <v>1</v>
      </c>
      <c r="X466" s="1"/>
      <c r="Y466" s="1"/>
      <c r="Z466" s="1"/>
    </row>
    <row r="467" spans="1:26" ht="18.600000000000001" x14ac:dyDescent="0.25">
      <c r="A467" s="321" t="s">
        <v>500</v>
      </c>
      <c r="B467" s="321" t="s">
        <v>118</v>
      </c>
      <c r="C467" s="318" t="s">
        <v>84</v>
      </c>
      <c r="D467">
        <v>20470</v>
      </c>
      <c r="E467" s="143">
        <v>57273</v>
      </c>
      <c r="F467" s="117">
        <v>1404</v>
      </c>
      <c r="G467" s="321" t="s">
        <v>305</v>
      </c>
      <c r="H467" s="144">
        <f>bargiri[[#This Row],[میزان بارگیری شده]]*bargiri[[#This Row],[فی]]</f>
        <v>1172378310</v>
      </c>
      <c r="I467" s="321">
        <f>IF(year=bargiri[[#This Row],[سال]],1,0)</f>
        <v>1</v>
      </c>
      <c r="X467" s="1"/>
      <c r="Y467" s="1"/>
      <c r="Z467" s="1"/>
    </row>
    <row r="468" spans="1:26" ht="18.600000000000001" hidden="1" x14ac:dyDescent="0.25">
      <c r="A468" s="321" t="s">
        <v>500</v>
      </c>
      <c r="B468" s="321" t="s">
        <v>114</v>
      </c>
      <c r="C468" s="318" t="s">
        <v>63</v>
      </c>
      <c r="D468">
        <v>945</v>
      </c>
      <c r="E468" s="143">
        <v>75000</v>
      </c>
      <c r="F468" s="117">
        <v>1404</v>
      </c>
      <c r="G468" s="321" t="s">
        <v>305</v>
      </c>
      <c r="H468" s="144">
        <f>bargiri[[#This Row],[میزان بارگیری شده]]*bargiri[[#This Row],[فی]]</f>
        <v>70875000</v>
      </c>
      <c r="I468" s="321">
        <f>IF(year=bargiri[[#This Row],[سال]],1,0)</f>
        <v>1</v>
      </c>
      <c r="X468" s="1"/>
      <c r="Y468" s="1"/>
      <c r="Z468" s="1"/>
    </row>
    <row r="469" spans="1:26" ht="18.600000000000001" hidden="1" x14ac:dyDescent="0.25">
      <c r="A469" s="321" t="s">
        <v>500</v>
      </c>
      <c r="B469" s="321" t="s">
        <v>114</v>
      </c>
      <c r="C469" s="318" t="s">
        <v>62</v>
      </c>
      <c r="D469">
        <v>20620</v>
      </c>
      <c r="E469" s="143">
        <v>75000</v>
      </c>
      <c r="F469" s="117">
        <v>1404</v>
      </c>
      <c r="G469" s="321" t="s">
        <v>305</v>
      </c>
      <c r="H469" s="144">
        <f>bargiri[[#This Row],[میزان بارگیری شده]]*bargiri[[#This Row],[فی]]</f>
        <v>1546500000</v>
      </c>
      <c r="I469" s="321">
        <f>IF(year=bargiri[[#This Row],[سال]],1,0)</f>
        <v>1</v>
      </c>
      <c r="X469" s="1"/>
      <c r="Y469" s="1"/>
      <c r="Z469" s="1"/>
    </row>
    <row r="470" spans="1:26" ht="18.600000000000001" hidden="1" x14ac:dyDescent="0.25">
      <c r="A470" s="321" t="s">
        <v>500</v>
      </c>
      <c r="B470" s="321" t="s">
        <v>107</v>
      </c>
      <c r="C470" s="318" t="s">
        <v>50</v>
      </c>
      <c r="D470">
        <v>18925</v>
      </c>
      <c r="E470" s="143">
        <v>70000</v>
      </c>
      <c r="F470" s="117">
        <v>1404</v>
      </c>
      <c r="G470" s="321" t="s">
        <v>305</v>
      </c>
      <c r="H470" s="144">
        <f>bargiri[[#This Row],[میزان بارگیری شده]]*bargiri[[#This Row],[فی]]</f>
        <v>1324750000</v>
      </c>
      <c r="I470" s="321">
        <f>IF(year=bargiri[[#This Row],[سال]],1,0)</f>
        <v>1</v>
      </c>
      <c r="X470" s="1"/>
      <c r="Y470" s="1"/>
      <c r="Z470" s="1"/>
    </row>
    <row r="471" spans="1:26" ht="18.600000000000001" hidden="1" x14ac:dyDescent="0.25">
      <c r="A471" s="321" t="s">
        <v>500</v>
      </c>
      <c r="B471" s="321" t="s">
        <v>116</v>
      </c>
      <c r="C471" s="318" t="s">
        <v>77</v>
      </c>
      <c r="D471">
        <v>18145</v>
      </c>
      <c r="E471" s="143">
        <v>68500</v>
      </c>
      <c r="F471" s="117">
        <v>1404</v>
      </c>
      <c r="G471" s="321" t="s">
        <v>305</v>
      </c>
      <c r="H471" s="144">
        <f>bargiri[[#This Row],[میزان بارگیری شده]]*bargiri[[#This Row],[فی]]</f>
        <v>1242932500</v>
      </c>
      <c r="I471" s="321">
        <f>IF(year=bargiri[[#This Row],[سال]],1,0)</f>
        <v>1</v>
      </c>
      <c r="X471" s="1"/>
      <c r="Y471" s="1"/>
      <c r="Z471" s="1"/>
    </row>
    <row r="472" spans="1:26" ht="18.600000000000001" hidden="1" x14ac:dyDescent="0.25">
      <c r="A472" s="321" t="s">
        <v>501</v>
      </c>
      <c r="B472" s="321" t="s">
        <v>116</v>
      </c>
      <c r="C472" s="318" t="s">
        <v>77</v>
      </c>
      <c r="D472">
        <v>17885</v>
      </c>
      <c r="E472" s="143">
        <v>68500</v>
      </c>
      <c r="F472" s="117">
        <v>1404</v>
      </c>
      <c r="G472" s="321" t="s">
        <v>305</v>
      </c>
      <c r="H472" s="144">
        <f>bargiri[[#This Row],[میزان بارگیری شده]]*bargiri[[#This Row],[فی]]</f>
        <v>1225122500</v>
      </c>
      <c r="I472" s="321">
        <f>IF(year=bargiri[[#This Row],[سال]],1,0)</f>
        <v>1</v>
      </c>
      <c r="X472" s="1"/>
      <c r="Y472" s="1"/>
      <c r="Z472" s="1"/>
    </row>
    <row r="473" spans="1:26" ht="18.600000000000001" hidden="1" x14ac:dyDescent="0.25">
      <c r="A473" s="321" t="s">
        <v>501</v>
      </c>
      <c r="B473" s="321" t="s">
        <v>106</v>
      </c>
      <c r="C473" s="318" t="s">
        <v>45</v>
      </c>
      <c r="D473">
        <v>19975</v>
      </c>
      <c r="E473" s="143">
        <v>80000</v>
      </c>
      <c r="F473" s="117">
        <v>1404</v>
      </c>
      <c r="G473" s="321" t="s">
        <v>305</v>
      </c>
      <c r="H473" s="144">
        <f>bargiri[[#This Row],[میزان بارگیری شده]]*bargiri[[#This Row],[فی]]</f>
        <v>1598000000</v>
      </c>
      <c r="I473" s="321">
        <f>IF(year=bargiri[[#This Row],[سال]],1,0)</f>
        <v>1</v>
      </c>
      <c r="X473" s="1"/>
      <c r="Y473" s="1"/>
      <c r="Z473" s="1"/>
    </row>
    <row r="474" spans="1:26" ht="18.600000000000001" hidden="1" x14ac:dyDescent="0.25">
      <c r="A474" s="321" t="s">
        <v>501</v>
      </c>
      <c r="B474" s="321" t="s">
        <v>122</v>
      </c>
      <c r="C474" s="318" t="s">
        <v>91</v>
      </c>
      <c r="D474">
        <v>19860</v>
      </c>
      <c r="E474" s="143">
        <v>75000</v>
      </c>
      <c r="F474" s="117">
        <v>1404</v>
      </c>
      <c r="G474" s="321" t="s">
        <v>305</v>
      </c>
      <c r="H474" s="144">
        <f>bargiri[[#This Row],[میزان بارگیری شده]]*bargiri[[#This Row],[فی]]</f>
        <v>1489500000</v>
      </c>
      <c r="I474" s="321">
        <f>IF(year=bargiri[[#This Row],[سال]],1,0)</f>
        <v>1</v>
      </c>
      <c r="X474" s="1"/>
      <c r="Y474" s="1"/>
      <c r="Z474" s="1"/>
    </row>
    <row r="475" spans="1:26" ht="18.600000000000001" hidden="1" x14ac:dyDescent="0.25">
      <c r="A475" s="321" t="s">
        <v>185</v>
      </c>
      <c r="B475" s="321" t="s">
        <v>113</v>
      </c>
      <c r="C475" s="318" t="s">
        <v>61</v>
      </c>
      <c r="D475">
        <v>18190</v>
      </c>
      <c r="E475" s="143">
        <v>75000</v>
      </c>
      <c r="F475" s="117">
        <v>1404</v>
      </c>
      <c r="G475" s="321" t="s">
        <v>305</v>
      </c>
      <c r="H475" s="144">
        <f>bargiri[[#This Row],[میزان بارگیری شده]]*bargiri[[#This Row],[فی]]</f>
        <v>1364250000</v>
      </c>
      <c r="I475" s="321">
        <f>IF(year=bargiri[[#This Row],[سال]],1,0)</f>
        <v>1</v>
      </c>
      <c r="X475" s="1"/>
      <c r="Y475" s="1"/>
      <c r="Z475" s="1"/>
    </row>
    <row r="476" spans="1:26" ht="18.600000000000001" hidden="1" x14ac:dyDescent="0.25">
      <c r="A476" s="321" t="s">
        <v>185</v>
      </c>
      <c r="B476" s="321" t="s">
        <v>102</v>
      </c>
      <c r="C476" s="318" t="s">
        <v>24</v>
      </c>
      <c r="D476">
        <v>11920</v>
      </c>
      <c r="E476" s="143">
        <v>70000</v>
      </c>
      <c r="F476" s="117">
        <v>1404</v>
      </c>
      <c r="G476" s="321" t="s">
        <v>305</v>
      </c>
      <c r="H476" s="144">
        <f>bargiri[[#This Row],[میزان بارگیری شده]]*bargiri[[#This Row],[فی]]</f>
        <v>834400000</v>
      </c>
      <c r="I476" s="321">
        <f>IF(year=bargiri[[#This Row],[سال]],1,0)</f>
        <v>1</v>
      </c>
      <c r="X476" s="1"/>
      <c r="Y476" s="1"/>
      <c r="Z476" s="1"/>
    </row>
    <row r="477" spans="1:26" ht="18.600000000000001" hidden="1" x14ac:dyDescent="0.25">
      <c r="A477" s="321" t="s">
        <v>185</v>
      </c>
      <c r="B477" s="321" t="s">
        <v>104</v>
      </c>
      <c r="C477" s="318" t="s">
        <v>39</v>
      </c>
      <c r="D477">
        <v>17975</v>
      </c>
      <c r="E477" s="143">
        <v>65000</v>
      </c>
      <c r="F477" s="117">
        <v>1404</v>
      </c>
      <c r="G477" s="321" t="s">
        <v>305</v>
      </c>
      <c r="H477" s="144">
        <f>bargiri[[#This Row],[میزان بارگیری شده]]*bargiri[[#This Row],[فی]]</f>
        <v>1168375000</v>
      </c>
      <c r="I477" s="321">
        <f>IF(year=bargiri[[#This Row],[سال]],1,0)</f>
        <v>1</v>
      </c>
      <c r="X477" s="1"/>
      <c r="Y477" s="1"/>
      <c r="Z477" s="1"/>
    </row>
    <row r="478" spans="1:26" ht="18.600000000000001" hidden="1" x14ac:dyDescent="0.25">
      <c r="A478" s="321" t="s">
        <v>185</v>
      </c>
      <c r="B478" s="321" t="s">
        <v>101</v>
      </c>
      <c r="C478" s="318" t="s">
        <v>19</v>
      </c>
      <c r="D478">
        <v>20040</v>
      </c>
      <c r="E478" s="143">
        <v>75000</v>
      </c>
      <c r="F478" s="117">
        <v>1404</v>
      </c>
      <c r="G478" s="321" t="s">
        <v>305</v>
      </c>
      <c r="H478" s="144">
        <f>bargiri[[#This Row],[میزان بارگیری شده]]*bargiri[[#This Row],[فی]]</f>
        <v>1503000000</v>
      </c>
      <c r="I478" s="321">
        <f>IF(year=bargiri[[#This Row],[سال]],1,0)</f>
        <v>1</v>
      </c>
      <c r="X478" s="1"/>
      <c r="Y478" s="1"/>
      <c r="Z478" s="1"/>
    </row>
    <row r="479" spans="1:26" ht="18.600000000000001" x14ac:dyDescent="0.25">
      <c r="A479" s="321" t="s">
        <v>185</v>
      </c>
      <c r="B479" s="321" t="s">
        <v>118</v>
      </c>
      <c r="C479" s="318" t="s">
        <v>84</v>
      </c>
      <c r="D479">
        <v>21110</v>
      </c>
      <c r="E479" s="143">
        <v>57273</v>
      </c>
      <c r="F479" s="117">
        <v>1404</v>
      </c>
      <c r="G479" s="321" t="s">
        <v>305</v>
      </c>
      <c r="H479" s="144">
        <f>bargiri[[#This Row],[میزان بارگیری شده]]*bargiri[[#This Row],[فی]]</f>
        <v>1209033030</v>
      </c>
      <c r="I479" s="321">
        <f>IF(year=bargiri[[#This Row],[سال]],1,0)</f>
        <v>1</v>
      </c>
      <c r="X479" s="1"/>
      <c r="Y479" s="1"/>
      <c r="Z479" s="1"/>
    </row>
    <row r="480" spans="1:26" ht="18.600000000000001" x14ac:dyDescent="0.25">
      <c r="A480" s="321" t="s">
        <v>185</v>
      </c>
      <c r="B480" s="321" t="s">
        <v>118</v>
      </c>
      <c r="C480" s="318" t="s">
        <v>84</v>
      </c>
      <c r="D480">
        <v>21230</v>
      </c>
      <c r="E480" s="143">
        <v>57273</v>
      </c>
      <c r="F480" s="117">
        <v>1404</v>
      </c>
      <c r="G480" s="321" t="s">
        <v>305</v>
      </c>
      <c r="H480" s="144">
        <f>bargiri[[#This Row],[میزان بارگیری شده]]*bargiri[[#This Row],[فی]]</f>
        <v>1215905790</v>
      </c>
      <c r="I480" s="321">
        <f>IF(year=bargiri[[#This Row],[سال]],1,0)</f>
        <v>1</v>
      </c>
      <c r="X480" s="1"/>
      <c r="Y480" s="1"/>
      <c r="Z480" s="1"/>
    </row>
    <row r="481" spans="1:26" ht="18.600000000000001" hidden="1" x14ac:dyDescent="0.25">
      <c r="A481" s="321" t="s">
        <v>328</v>
      </c>
      <c r="B481" s="321" t="s">
        <v>103</v>
      </c>
      <c r="C481" s="318" t="s">
        <v>29</v>
      </c>
      <c r="D481">
        <v>7385</v>
      </c>
      <c r="E481" s="143">
        <v>75000</v>
      </c>
      <c r="F481" s="117">
        <v>1404</v>
      </c>
      <c r="G481" s="321" t="s">
        <v>295</v>
      </c>
      <c r="H481" s="144">
        <f>bargiri[[#This Row],[میزان بارگیری شده]]*bargiri[[#This Row],[فی]]</f>
        <v>553875000</v>
      </c>
      <c r="I481" s="321">
        <f>IF(year=bargiri[[#This Row],[سال]],1,0)</f>
        <v>1</v>
      </c>
      <c r="X481" s="1"/>
      <c r="Y481" s="1"/>
      <c r="Z481" s="1"/>
    </row>
    <row r="482" spans="1:26" ht="18.600000000000001" hidden="1" x14ac:dyDescent="0.25">
      <c r="A482" s="321" t="s">
        <v>328</v>
      </c>
      <c r="B482" s="321" t="s">
        <v>110</v>
      </c>
      <c r="C482" s="318" t="s">
        <v>57</v>
      </c>
      <c r="D482">
        <v>20100</v>
      </c>
      <c r="E482" s="143">
        <v>78000</v>
      </c>
      <c r="F482" s="117">
        <v>1404</v>
      </c>
      <c r="G482" s="321" t="s">
        <v>295</v>
      </c>
      <c r="H482" s="144">
        <f>bargiri[[#This Row],[میزان بارگیری شده]]*bargiri[[#This Row],[فی]]</f>
        <v>1567800000</v>
      </c>
      <c r="I482" s="321">
        <f>IF(year=bargiri[[#This Row],[سال]],1,0)</f>
        <v>1</v>
      </c>
      <c r="X482" s="1"/>
      <c r="Y482" s="1"/>
      <c r="Z482" s="1"/>
    </row>
    <row r="483" spans="1:26" ht="18.600000000000001" hidden="1" x14ac:dyDescent="0.25">
      <c r="A483" s="321" t="s">
        <v>328</v>
      </c>
      <c r="B483" s="321" t="s">
        <v>103</v>
      </c>
      <c r="C483" s="318" t="s">
        <v>29</v>
      </c>
      <c r="D483">
        <v>7220</v>
      </c>
      <c r="E483" s="143">
        <v>75000</v>
      </c>
      <c r="F483" s="117">
        <v>1404</v>
      </c>
      <c r="G483" s="321" t="s">
        <v>295</v>
      </c>
      <c r="H483" s="144">
        <f>bargiri[[#This Row],[میزان بارگیری شده]]*bargiri[[#This Row],[فی]]</f>
        <v>541500000</v>
      </c>
      <c r="I483" s="321">
        <f>IF(year=bargiri[[#This Row],[سال]],1,0)</f>
        <v>1</v>
      </c>
      <c r="X483" s="1"/>
      <c r="Y483" s="1"/>
      <c r="Z483" s="1"/>
    </row>
    <row r="484" spans="1:26" ht="18.600000000000001" hidden="1" x14ac:dyDescent="0.25">
      <c r="A484" s="321" t="s">
        <v>329</v>
      </c>
      <c r="B484" s="321" t="s">
        <v>120</v>
      </c>
      <c r="C484" s="318" t="s">
        <v>88</v>
      </c>
      <c r="D484">
        <v>9065</v>
      </c>
      <c r="E484" s="143">
        <v>80000</v>
      </c>
      <c r="F484" s="117">
        <v>1404</v>
      </c>
      <c r="G484" s="321" t="s">
        <v>295</v>
      </c>
      <c r="H484" s="144">
        <f>bargiri[[#This Row],[میزان بارگیری شده]]*bargiri[[#This Row],[فی]]</f>
        <v>725200000</v>
      </c>
      <c r="I484" s="321">
        <f>IF(year=bargiri[[#This Row],[سال]],1,0)</f>
        <v>1</v>
      </c>
      <c r="X484" s="1"/>
      <c r="Y484" s="1"/>
      <c r="Z484" s="1"/>
    </row>
    <row r="485" spans="1:26" ht="18.600000000000001" hidden="1" x14ac:dyDescent="0.25">
      <c r="A485" s="321" t="s">
        <v>329</v>
      </c>
      <c r="B485" s="321" t="s">
        <v>123</v>
      </c>
      <c r="C485" s="318" t="s">
        <v>93</v>
      </c>
      <c r="D485">
        <v>7085</v>
      </c>
      <c r="E485" s="143">
        <v>75000</v>
      </c>
      <c r="F485" s="117">
        <v>1404</v>
      </c>
      <c r="G485" s="321" t="s">
        <v>295</v>
      </c>
      <c r="H485" s="144">
        <f>bargiri[[#This Row],[میزان بارگیری شده]]*bargiri[[#This Row],[فی]]</f>
        <v>531375000</v>
      </c>
      <c r="I485" s="321">
        <f>IF(year=bargiri[[#This Row],[سال]],1,0)</f>
        <v>1</v>
      </c>
      <c r="X485" s="1"/>
      <c r="Y485" s="1"/>
      <c r="Z485" s="1"/>
    </row>
    <row r="486" spans="1:26" ht="18.600000000000001" hidden="1" x14ac:dyDescent="0.25">
      <c r="A486" s="321" t="s">
        <v>330</v>
      </c>
      <c r="B486" s="321" t="s">
        <v>103</v>
      </c>
      <c r="C486" s="318" t="s">
        <v>29</v>
      </c>
      <c r="D486">
        <v>7075</v>
      </c>
      <c r="E486" s="143">
        <v>75000</v>
      </c>
      <c r="F486" s="117">
        <v>1404</v>
      </c>
      <c r="G486" s="321" t="s">
        <v>295</v>
      </c>
      <c r="H486" s="144">
        <f>bargiri[[#This Row],[میزان بارگیری شده]]*bargiri[[#This Row],[فی]]</f>
        <v>530625000</v>
      </c>
      <c r="I486" s="321">
        <f>IF(year=bargiri[[#This Row],[سال]],1,0)</f>
        <v>1</v>
      </c>
      <c r="X486" s="1"/>
      <c r="Y486" s="1"/>
      <c r="Z486" s="1"/>
    </row>
    <row r="487" spans="1:26" ht="18.600000000000001" hidden="1" x14ac:dyDescent="0.25">
      <c r="A487" s="321" t="s">
        <v>330</v>
      </c>
      <c r="B487" s="321" t="s">
        <v>107</v>
      </c>
      <c r="C487" s="318" t="s">
        <v>50</v>
      </c>
      <c r="D487">
        <v>18040</v>
      </c>
      <c r="E487" s="143">
        <v>70000</v>
      </c>
      <c r="F487" s="117">
        <v>1404</v>
      </c>
      <c r="G487" s="321" t="s">
        <v>295</v>
      </c>
      <c r="H487" s="144">
        <f>bargiri[[#This Row],[میزان بارگیری شده]]*bargiri[[#This Row],[فی]]</f>
        <v>1262800000</v>
      </c>
      <c r="I487" s="321">
        <f>IF(year=bargiri[[#This Row],[سال]],1,0)</f>
        <v>1</v>
      </c>
      <c r="X487" s="1"/>
      <c r="Y487" s="1"/>
      <c r="Z487" s="1"/>
    </row>
    <row r="488" spans="1:26" ht="18.600000000000001" hidden="1" x14ac:dyDescent="0.25">
      <c r="A488" s="321" t="s">
        <v>331</v>
      </c>
      <c r="B488" s="321" t="s">
        <v>120</v>
      </c>
      <c r="C488" s="318" t="s">
        <v>88</v>
      </c>
      <c r="D488">
        <v>9015</v>
      </c>
      <c r="E488" s="143">
        <v>80000</v>
      </c>
      <c r="F488" s="117">
        <v>1404</v>
      </c>
      <c r="G488" s="321" t="s">
        <v>295</v>
      </c>
      <c r="H488" s="144">
        <f>bargiri[[#This Row],[میزان بارگیری شده]]*bargiri[[#This Row],[فی]]</f>
        <v>721200000</v>
      </c>
      <c r="I488" s="321">
        <f>IF(year=bargiri[[#This Row],[سال]],1,0)</f>
        <v>1</v>
      </c>
      <c r="X488" s="1"/>
      <c r="Y488" s="1"/>
      <c r="Z488" s="1"/>
    </row>
    <row r="489" spans="1:26" ht="18.600000000000001" hidden="1" x14ac:dyDescent="0.25">
      <c r="A489" s="321" t="s">
        <v>331</v>
      </c>
      <c r="B489" s="321" t="s">
        <v>120</v>
      </c>
      <c r="C489" s="318" t="s">
        <v>88</v>
      </c>
      <c r="D489">
        <v>9000</v>
      </c>
      <c r="E489" s="143">
        <v>80000</v>
      </c>
      <c r="F489" s="117">
        <v>1404</v>
      </c>
      <c r="G489" s="321" t="s">
        <v>295</v>
      </c>
      <c r="H489" s="144">
        <f>bargiri[[#This Row],[میزان بارگیری شده]]*bargiri[[#This Row],[فی]]</f>
        <v>720000000</v>
      </c>
      <c r="I489" s="321">
        <f>IF(year=bargiri[[#This Row],[سال]],1,0)</f>
        <v>1</v>
      </c>
      <c r="X489" s="1"/>
      <c r="Y489" s="1"/>
      <c r="Z489" s="1"/>
    </row>
    <row r="490" spans="1:26" ht="18.600000000000001" hidden="1" x14ac:dyDescent="0.25">
      <c r="A490" s="321" t="s">
        <v>331</v>
      </c>
      <c r="B490" s="321" t="s">
        <v>113</v>
      </c>
      <c r="C490" s="318" t="s">
        <v>61</v>
      </c>
      <c r="D490">
        <v>17930</v>
      </c>
      <c r="E490" s="143">
        <v>75000</v>
      </c>
      <c r="F490" s="117">
        <v>1404</v>
      </c>
      <c r="G490" s="321" t="s">
        <v>295</v>
      </c>
      <c r="H490" s="144">
        <f>bargiri[[#This Row],[میزان بارگیری شده]]*bargiri[[#This Row],[فی]]</f>
        <v>1344750000</v>
      </c>
      <c r="I490" s="321">
        <f>IF(year=bargiri[[#This Row],[سال]],1,0)</f>
        <v>1</v>
      </c>
      <c r="X490" s="1"/>
      <c r="Y490" s="1"/>
      <c r="Z490" s="1"/>
    </row>
    <row r="491" spans="1:26" ht="18.600000000000001" hidden="1" x14ac:dyDescent="0.25">
      <c r="A491" s="321" t="s">
        <v>331</v>
      </c>
      <c r="B491" s="321" t="s">
        <v>98</v>
      </c>
      <c r="C491" s="318" t="s">
        <v>4</v>
      </c>
      <c r="D491">
        <v>20130</v>
      </c>
      <c r="E491" s="143">
        <v>65000</v>
      </c>
      <c r="F491" s="117">
        <v>1404</v>
      </c>
      <c r="G491" s="321" t="s">
        <v>295</v>
      </c>
      <c r="H491" s="144">
        <f>bargiri[[#This Row],[میزان بارگیری شده]]*bargiri[[#This Row],[فی]]</f>
        <v>1308450000</v>
      </c>
      <c r="I491" s="321">
        <f>IF(year=bargiri[[#This Row],[سال]],1,0)</f>
        <v>1</v>
      </c>
      <c r="X491" s="1"/>
      <c r="Y491" s="1"/>
      <c r="Z491" s="1"/>
    </row>
    <row r="492" spans="1:26" ht="18.600000000000001" hidden="1" x14ac:dyDescent="0.25">
      <c r="A492" s="321" t="s">
        <v>331</v>
      </c>
      <c r="B492" s="321" t="s">
        <v>106</v>
      </c>
      <c r="C492" s="318" t="s">
        <v>45</v>
      </c>
      <c r="D492">
        <v>12065</v>
      </c>
      <c r="E492" s="143">
        <v>80000</v>
      </c>
      <c r="F492" s="117">
        <v>1404</v>
      </c>
      <c r="G492" s="321" t="s">
        <v>295</v>
      </c>
      <c r="H492" s="144">
        <f>bargiri[[#This Row],[میزان بارگیری شده]]*bargiri[[#This Row],[فی]]</f>
        <v>965200000</v>
      </c>
      <c r="I492" s="321">
        <f>IF(year=bargiri[[#This Row],[سال]],1,0)</f>
        <v>1</v>
      </c>
      <c r="X492" s="1"/>
      <c r="Y492" s="1"/>
      <c r="Z492" s="1"/>
    </row>
    <row r="493" spans="1:26" ht="18.600000000000001" hidden="1" x14ac:dyDescent="0.25">
      <c r="A493" s="321" t="s">
        <v>332</v>
      </c>
      <c r="B493" s="321" t="s">
        <v>123</v>
      </c>
      <c r="C493" s="318" t="s">
        <v>93</v>
      </c>
      <c r="D493">
        <v>7655</v>
      </c>
      <c r="E493" s="143">
        <v>75000</v>
      </c>
      <c r="F493" s="117">
        <v>1404</v>
      </c>
      <c r="G493" s="321" t="s">
        <v>295</v>
      </c>
      <c r="H493" s="144">
        <f>bargiri[[#This Row],[میزان بارگیری شده]]*bargiri[[#This Row],[فی]]</f>
        <v>574125000</v>
      </c>
      <c r="I493" s="321">
        <f>IF(year=bargiri[[#This Row],[سال]],1,0)</f>
        <v>1</v>
      </c>
      <c r="X493" s="1"/>
      <c r="Y493" s="1"/>
      <c r="Z493" s="1"/>
    </row>
    <row r="494" spans="1:26" ht="18.600000000000001" x14ac:dyDescent="0.25">
      <c r="A494" s="321" t="s">
        <v>332</v>
      </c>
      <c r="B494" s="321" t="s">
        <v>118</v>
      </c>
      <c r="C494" s="318" t="s">
        <v>84</v>
      </c>
      <c r="D494">
        <v>20505</v>
      </c>
      <c r="E494" s="143">
        <v>57273</v>
      </c>
      <c r="F494" s="117">
        <v>1404</v>
      </c>
      <c r="G494" s="321" t="s">
        <v>295</v>
      </c>
      <c r="H494" s="144">
        <f>bargiri[[#This Row],[میزان بارگیری شده]]*bargiri[[#This Row],[فی]]</f>
        <v>1174382865</v>
      </c>
      <c r="I494" s="321">
        <f>IF(year=bargiri[[#This Row],[سال]],1,0)</f>
        <v>1</v>
      </c>
      <c r="X494" s="1"/>
      <c r="Y494" s="1"/>
      <c r="Z494" s="1"/>
    </row>
    <row r="495" spans="1:26" ht="18.600000000000001" x14ac:dyDescent="0.25">
      <c r="A495" s="321" t="s">
        <v>332</v>
      </c>
      <c r="B495" s="321" t="s">
        <v>118</v>
      </c>
      <c r="C495" s="318" t="s">
        <v>84</v>
      </c>
      <c r="D495">
        <v>20495</v>
      </c>
      <c r="E495" s="143">
        <v>57273</v>
      </c>
      <c r="F495" s="117">
        <v>1404</v>
      </c>
      <c r="G495" s="321" t="s">
        <v>295</v>
      </c>
      <c r="H495" s="144">
        <f>bargiri[[#This Row],[میزان بارگیری شده]]*bargiri[[#This Row],[فی]]</f>
        <v>1173810135</v>
      </c>
      <c r="I495" s="321">
        <f>IF(year=bargiri[[#This Row],[سال]],1,0)</f>
        <v>1</v>
      </c>
      <c r="X495" s="1"/>
      <c r="Y495" s="1"/>
      <c r="Z495" s="1"/>
    </row>
    <row r="496" spans="1:26" ht="18.600000000000001" hidden="1" x14ac:dyDescent="0.25">
      <c r="A496" s="321" t="s">
        <v>332</v>
      </c>
      <c r="B496" s="321" t="s">
        <v>116</v>
      </c>
      <c r="C496" s="318" t="s">
        <v>77</v>
      </c>
      <c r="D496">
        <v>18020</v>
      </c>
      <c r="E496" s="143">
        <v>68500</v>
      </c>
      <c r="F496" s="117">
        <v>1404</v>
      </c>
      <c r="G496" s="321" t="s">
        <v>295</v>
      </c>
      <c r="H496" s="144">
        <f>bargiri[[#This Row],[میزان بارگیری شده]]*bargiri[[#This Row],[فی]]</f>
        <v>1234370000</v>
      </c>
      <c r="I496" s="321">
        <f>IF(year=bargiri[[#This Row],[سال]],1,0)</f>
        <v>1</v>
      </c>
      <c r="X496" s="1"/>
      <c r="Y496" s="1"/>
      <c r="Z496" s="1"/>
    </row>
    <row r="497" spans="1:26" ht="18.600000000000001" hidden="1" x14ac:dyDescent="0.25">
      <c r="A497" s="321" t="s">
        <v>333</v>
      </c>
      <c r="B497" s="321" t="s">
        <v>106</v>
      </c>
      <c r="C497" s="318" t="s">
        <v>45</v>
      </c>
      <c r="D497">
        <v>5050</v>
      </c>
      <c r="E497" s="143">
        <v>80000</v>
      </c>
      <c r="F497" s="117">
        <v>1404</v>
      </c>
      <c r="G497" s="321" t="s">
        <v>295</v>
      </c>
      <c r="H497" s="144">
        <f>bargiri[[#This Row],[میزان بارگیری شده]]*bargiri[[#This Row],[فی]]</f>
        <v>404000000</v>
      </c>
      <c r="I497" s="321">
        <f>IF(year=bargiri[[#This Row],[سال]],1,0)</f>
        <v>1</v>
      </c>
      <c r="X497" s="1"/>
      <c r="Y497" s="1"/>
      <c r="Z497" s="1"/>
    </row>
    <row r="498" spans="1:26" ht="18.600000000000001" hidden="1" x14ac:dyDescent="0.25">
      <c r="A498" s="321" t="s">
        <v>333</v>
      </c>
      <c r="B498" s="321" t="s">
        <v>117</v>
      </c>
      <c r="C498" s="318" t="s">
        <v>79</v>
      </c>
      <c r="D498">
        <v>18040</v>
      </c>
      <c r="E498" s="143">
        <v>75000</v>
      </c>
      <c r="F498" s="117">
        <v>1404</v>
      </c>
      <c r="G498" s="321" t="s">
        <v>295</v>
      </c>
      <c r="H498" s="144">
        <f>bargiri[[#This Row],[میزان بارگیری شده]]*bargiri[[#This Row],[فی]]</f>
        <v>1353000000</v>
      </c>
      <c r="I498" s="321">
        <f>IF(year=bargiri[[#This Row],[سال]],1,0)</f>
        <v>1</v>
      </c>
      <c r="X498" s="1"/>
      <c r="Y498" s="1"/>
      <c r="Z498" s="1"/>
    </row>
    <row r="499" spans="1:26" ht="18.600000000000001" hidden="1" x14ac:dyDescent="0.25">
      <c r="A499" s="321" t="s">
        <v>333</v>
      </c>
      <c r="B499" s="321" t="s">
        <v>116</v>
      </c>
      <c r="C499" s="318" t="s">
        <v>77</v>
      </c>
      <c r="D499">
        <v>18135</v>
      </c>
      <c r="E499" s="143">
        <v>68500</v>
      </c>
      <c r="F499" s="117">
        <v>1404</v>
      </c>
      <c r="G499" s="321" t="s">
        <v>295</v>
      </c>
      <c r="H499" s="144">
        <f>bargiri[[#This Row],[میزان بارگیری شده]]*bargiri[[#This Row],[فی]]</f>
        <v>1242247500</v>
      </c>
      <c r="I499" s="321">
        <f>IF(year=bargiri[[#This Row],[سال]],1,0)</f>
        <v>1</v>
      </c>
      <c r="X499" s="1"/>
      <c r="Y499" s="1"/>
      <c r="Z499" s="1"/>
    </row>
    <row r="500" spans="1:26" ht="18.600000000000001" hidden="1" x14ac:dyDescent="0.25">
      <c r="A500" s="321" t="s">
        <v>333</v>
      </c>
      <c r="B500" s="321" t="s">
        <v>107</v>
      </c>
      <c r="C500" s="318" t="s">
        <v>50</v>
      </c>
      <c r="D500">
        <v>17920</v>
      </c>
      <c r="E500" s="143">
        <v>70000</v>
      </c>
      <c r="F500" s="117">
        <v>1404</v>
      </c>
      <c r="G500" s="321" t="s">
        <v>295</v>
      </c>
      <c r="H500" s="144">
        <f>bargiri[[#This Row],[میزان بارگیری شده]]*bargiri[[#This Row],[فی]]</f>
        <v>1254400000</v>
      </c>
      <c r="I500" s="321">
        <f>IF(year=bargiri[[#This Row],[سال]],1,0)</f>
        <v>1</v>
      </c>
      <c r="X500" s="1"/>
      <c r="Y500" s="1"/>
      <c r="Z500" s="1"/>
    </row>
    <row r="501" spans="1:26" ht="18.600000000000001" hidden="1" x14ac:dyDescent="0.25">
      <c r="A501" s="321" t="s">
        <v>334</v>
      </c>
      <c r="B501" s="321" t="s">
        <v>114</v>
      </c>
      <c r="C501" s="318" t="s">
        <v>63</v>
      </c>
      <c r="D501">
        <v>17985</v>
      </c>
      <c r="E501" s="143">
        <v>75000</v>
      </c>
      <c r="F501" s="117">
        <v>1404</v>
      </c>
      <c r="G501" s="321" t="s">
        <v>295</v>
      </c>
      <c r="H501" s="144">
        <f>bargiri[[#This Row],[میزان بارگیری شده]]*bargiri[[#This Row],[فی]]</f>
        <v>1348875000</v>
      </c>
      <c r="I501" s="321">
        <f>IF(year=bargiri[[#This Row],[سال]],1,0)</f>
        <v>1</v>
      </c>
      <c r="X501" s="1"/>
      <c r="Y501" s="1"/>
      <c r="Z501" s="1"/>
    </row>
    <row r="502" spans="1:26" ht="18.600000000000001" x14ac:dyDescent="0.25">
      <c r="A502" s="321" t="s">
        <v>334</v>
      </c>
      <c r="B502" s="321" t="s">
        <v>118</v>
      </c>
      <c r="C502" s="318" t="s">
        <v>84</v>
      </c>
      <c r="D502">
        <v>20925</v>
      </c>
      <c r="E502" s="143">
        <v>57273</v>
      </c>
      <c r="F502" s="117">
        <v>1404</v>
      </c>
      <c r="G502" s="321" t="s">
        <v>295</v>
      </c>
      <c r="H502" s="144">
        <f>bargiri[[#This Row],[میزان بارگیری شده]]*bargiri[[#This Row],[فی]]</f>
        <v>1198437525</v>
      </c>
      <c r="I502" s="321">
        <f>IF(year=bargiri[[#This Row],[سال]],1,0)</f>
        <v>1</v>
      </c>
      <c r="X502" s="1"/>
      <c r="Y502" s="1"/>
      <c r="Z502" s="1"/>
    </row>
    <row r="503" spans="1:26" ht="18.600000000000001" x14ac:dyDescent="0.25">
      <c r="A503" s="321" t="s">
        <v>334</v>
      </c>
      <c r="B503" s="321" t="s">
        <v>118</v>
      </c>
      <c r="C503" s="318" t="s">
        <v>84</v>
      </c>
      <c r="D503">
        <v>20655</v>
      </c>
      <c r="E503" s="143">
        <v>57273</v>
      </c>
      <c r="F503" s="117">
        <v>1404</v>
      </c>
      <c r="G503" s="321" t="s">
        <v>295</v>
      </c>
      <c r="H503" s="144">
        <f>bargiri[[#This Row],[میزان بارگیری شده]]*bargiri[[#This Row],[فی]]</f>
        <v>1182973815</v>
      </c>
      <c r="I503" s="321">
        <f>IF(year=bargiri[[#This Row],[سال]],1,0)</f>
        <v>1</v>
      </c>
      <c r="X503" s="1"/>
      <c r="Y503" s="1"/>
      <c r="Z503" s="1"/>
    </row>
    <row r="504" spans="1:26" ht="18.600000000000001" hidden="1" x14ac:dyDescent="0.25">
      <c r="A504" s="321" t="s">
        <v>335</v>
      </c>
      <c r="B504" s="321" t="s">
        <v>102</v>
      </c>
      <c r="C504" s="318" t="s">
        <v>24</v>
      </c>
      <c r="D504">
        <v>11490</v>
      </c>
      <c r="E504" s="143">
        <v>70000</v>
      </c>
      <c r="F504" s="117">
        <v>1404</v>
      </c>
      <c r="G504" s="321" t="s">
        <v>295</v>
      </c>
      <c r="H504" s="144">
        <f>bargiri[[#This Row],[میزان بارگیری شده]]*bargiri[[#This Row],[فی]]</f>
        <v>804300000</v>
      </c>
      <c r="I504" s="321">
        <f>IF(year=bargiri[[#This Row],[سال]],1,0)</f>
        <v>1</v>
      </c>
      <c r="X504" s="1"/>
      <c r="Y504" s="1"/>
      <c r="Z504" s="1"/>
    </row>
    <row r="505" spans="1:26" ht="18.600000000000001" hidden="1" x14ac:dyDescent="0.25">
      <c r="A505" s="321" t="s">
        <v>335</v>
      </c>
      <c r="B505" s="321" t="s">
        <v>120</v>
      </c>
      <c r="C505" s="318" t="s">
        <v>88</v>
      </c>
      <c r="D505">
        <v>9100</v>
      </c>
      <c r="E505" s="143">
        <v>80000</v>
      </c>
      <c r="F505" s="117">
        <v>1404</v>
      </c>
      <c r="G505" s="321" t="s">
        <v>295</v>
      </c>
      <c r="H505" s="144">
        <f>bargiri[[#This Row],[میزان بارگیری شده]]*bargiri[[#This Row],[فی]]</f>
        <v>728000000</v>
      </c>
      <c r="I505" s="321">
        <f>IF(year=bargiri[[#This Row],[سال]],1,0)</f>
        <v>1</v>
      </c>
      <c r="X505" s="1"/>
      <c r="Y505" s="1"/>
      <c r="Z505" s="1"/>
    </row>
    <row r="506" spans="1:26" ht="18.600000000000001" hidden="1" x14ac:dyDescent="0.25">
      <c r="A506" s="321" t="s">
        <v>336</v>
      </c>
      <c r="B506" s="321" t="s">
        <v>120</v>
      </c>
      <c r="C506" s="318" t="s">
        <v>88</v>
      </c>
      <c r="D506">
        <v>9055</v>
      </c>
      <c r="E506" s="143">
        <v>80000</v>
      </c>
      <c r="F506" s="117">
        <v>1404</v>
      </c>
      <c r="G506" s="321" t="s">
        <v>295</v>
      </c>
      <c r="H506" s="144">
        <f>bargiri[[#This Row],[میزان بارگیری شده]]*bargiri[[#This Row],[فی]]</f>
        <v>724400000</v>
      </c>
      <c r="I506" s="321">
        <f>IF(year=bargiri[[#This Row],[سال]],1,0)</f>
        <v>1</v>
      </c>
      <c r="X506" s="1"/>
      <c r="Y506" s="1"/>
      <c r="Z506" s="1"/>
    </row>
    <row r="507" spans="1:26" ht="18.600000000000001" x14ac:dyDescent="0.25">
      <c r="A507" s="321" t="s">
        <v>336</v>
      </c>
      <c r="B507" s="321" t="s">
        <v>118</v>
      </c>
      <c r="C507" s="318" t="s">
        <v>84</v>
      </c>
      <c r="D507">
        <v>20840</v>
      </c>
      <c r="E507" s="143">
        <v>57273</v>
      </c>
      <c r="F507" s="117">
        <v>1404</v>
      </c>
      <c r="G507" s="321" t="s">
        <v>295</v>
      </c>
      <c r="H507" s="144">
        <f>bargiri[[#This Row],[میزان بارگیری شده]]*bargiri[[#This Row],[فی]]</f>
        <v>1193569320</v>
      </c>
      <c r="I507" s="321">
        <f>IF(year=bargiri[[#This Row],[سال]],1,0)</f>
        <v>1</v>
      </c>
      <c r="X507" s="1"/>
      <c r="Y507" s="1"/>
      <c r="Z507" s="1"/>
    </row>
    <row r="508" spans="1:26" ht="18.600000000000001" hidden="1" x14ac:dyDescent="0.25">
      <c r="A508" s="321" t="s">
        <v>336</v>
      </c>
      <c r="B508" s="321" t="s">
        <v>113</v>
      </c>
      <c r="C508" s="318" t="s">
        <v>61</v>
      </c>
      <c r="D508">
        <v>18125</v>
      </c>
      <c r="E508" s="143">
        <v>75000</v>
      </c>
      <c r="F508" s="117">
        <v>1404</v>
      </c>
      <c r="G508" s="321" t="s">
        <v>295</v>
      </c>
      <c r="H508" s="144">
        <f>bargiri[[#This Row],[میزان بارگیری شده]]*bargiri[[#This Row],[فی]]</f>
        <v>1359375000</v>
      </c>
      <c r="I508" s="321">
        <f>IF(year=bargiri[[#This Row],[سال]],1,0)</f>
        <v>1</v>
      </c>
      <c r="X508" s="1"/>
      <c r="Y508" s="1"/>
      <c r="Z508" s="1"/>
    </row>
    <row r="509" spans="1:26" ht="18.600000000000001" hidden="1" x14ac:dyDescent="0.25">
      <c r="A509" s="321" t="s">
        <v>337</v>
      </c>
      <c r="B509" s="321" t="s">
        <v>107</v>
      </c>
      <c r="C509" s="318" t="s">
        <v>50</v>
      </c>
      <c r="D509">
        <v>18895</v>
      </c>
      <c r="E509" s="143">
        <v>70000</v>
      </c>
      <c r="F509" s="117">
        <v>1404</v>
      </c>
      <c r="G509" s="321" t="s">
        <v>295</v>
      </c>
      <c r="H509" s="144">
        <f>bargiri[[#This Row],[میزان بارگیری شده]]*bargiri[[#This Row],[فی]]</f>
        <v>1322650000</v>
      </c>
      <c r="I509" s="321">
        <f>IF(year=bargiri[[#This Row],[سال]],1,0)</f>
        <v>1</v>
      </c>
      <c r="X509" s="1"/>
      <c r="Y509" s="1"/>
      <c r="Z509" s="1"/>
    </row>
    <row r="510" spans="1:26" ht="18.600000000000001" hidden="1" x14ac:dyDescent="0.25">
      <c r="A510" s="321" t="s">
        <v>338</v>
      </c>
      <c r="B510" s="321" t="s">
        <v>116</v>
      </c>
      <c r="C510" s="318" t="s">
        <v>77</v>
      </c>
      <c r="D510">
        <v>19925</v>
      </c>
      <c r="E510" s="143">
        <v>68500</v>
      </c>
      <c r="F510" s="117">
        <v>1404</v>
      </c>
      <c r="G510" s="321" t="s">
        <v>295</v>
      </c>
      <c r="H510" s="144">
        <f>bargiri[[#This Row],[میزان بارگیری شده]]*bargiri[[#This Row],[فی]]</f>
        <v>1364862500</v>
      </c>
      <c r="I510" s="321">
        <f>IF(year=bargiri[[#This Row],[سال]],1,0)</f>
        <v>1</v>
      </c>
      <c r="X510" s="1"/>
      <c r="Y510" s="1"/>
      <c r="Z510" s="1"/>
    </row>
    <row r="511" spans="1:26" ht="18.600000000000001" hidden="1" x14ac:dyDescent="0.25">
      <c r="A511" s="321" t="s">
        <v>338</v>
      </c>
      <c r="B511" s="321" t="s">
        <v>107</v>
      </c>
      <c r="C511" s="318" t="s">
        <v>50</v>
      </c>
      <c r="D511">
        <v>18895</v>
      </c>
      <c r="E511" s="143">
        <v>70000</v>
      </c>
      <c r="F511" s="117">
        <v>1404</v>
      </c>
      <c r="G511" s="321" t="s">
        <v>295</v>
      </c>
      <c r="H511" s="144">
        <f>bargiri[[#This Row],[میزان بارگیری شده]]*bargiri[[#This Row],[فی]]</f>
        <v>1322650000</v>
      </c>
      <c r="I511" s="321">
        <f>IF(year=bargiri[[#This Row],[سال]],1,0)</f>
        <v>1</v>
      </c>
      <c r="X511" s="1"/>
      <c r="Y511" s="1"/>
      <c r="Z511" s="1"/>
    </row>
    <row r="512" spans="1:26" ht="18.600000000000001" hidden="1" x14ac:dyDescent="0.25">
      <c r="A512" s="321" t="s">
        <v>338</v>
      </c>
      <c r="B512" s="321" t="s">
        <v>98</v>
      </c>
      <c r="C512" s="318" t="s">
        <v>4</v>
      </c>
      <c r="D512">
        <v>22055</v>
      </c>
      <c r="E512" s="143">
        <v>65000</v>
      </c>
      <c r="F512" s="117">
        <v>1404</v>
      </c>
      <c r="G512" s="321" t="s">
        <v>295</v>
      </c>
      <c r="H512" s="144">
        <f>bargiri[[#This Row],[میزان بارگیری شده]]*bargiri[[#This Row],[فی]]</f>
        <v>1433575000</v>
      </c>
      <c r="I512" s="321">
        <f>IF(year=bargiri[[#This Row],[سال]],1,0)</f>
        <v>1</v>
      </c>
      <c r="X512" s="1"/>
      <c r="Y512" s="1"/>
      <c r="Z512" s="1"/>
    </row>
    <row r="513" spans="1:26" ht="18.600000000000001" hidden="1" x14ac:dyDescent="0.25">
      <c r="A513" s="321" t="s">
        <v>338</v>
      </c>
      <c r="B513" s="321" t="s">
        <v>113</v>
      </c>
      <c r="C513" s="318" t="s">
        <v>61</v>
      </c>
      <c r="D513">
        <v>18830</v>
      </c>
      <c r="E513" s="143">
        <v>75000</v>
      </c>
      <c r="F513" s="117">
        <v>1404</v>
      </c>
      <c r="G513" s="321" t="s">
        <v>295</v>
      </c>
      <c r="H513" s="144">
        <f>bargiri[[#This Row],[میزان بارگیری شده]]*bargiri[[#This Row],[فی]]</f>
        <v>1412250000</v>
      </c>
      <c r="I513" s="321">
        <f>IF(year=bargiri[[#This Row],[سال]],1,0)</f>
        <v>1</v>
      </c>
      <c r="X513" s="1"/>
      <c r="Y513" s="1"/>
      <c r="Z513" s="1"/>
    </row>
    <row r="514" spans="1:26" ht="18.600000000000001" hidden="1" x14ac:dyDescent="0.25">
      <c r="A514" s="321" t="s">
        <v>339</v>
      </c>
      <c r="B514" s="321" t="s">
        <v>106</v>
      </c>
      <c r="C514" s="318" t="s">
        <v>45</v>
      </c>
      <c r="D514">
        <v>5240</v>
      </c>
      <c r="E514" s="143">
        <v>80000</v>
      </c>
      <c r="F514" s="117">
        <v>1404</v>
      </c>
      <c r="G514" s="321" t="s">
        <v>295</v>
      </c>
      <c r="H514" s="144">
        <f>bargiri[[#This Row],[میزان بارگیری شده]]*bargiri[[#This Row],[فی]]</f>
        <v>419200000</v>
      </c>
      <c r="I514" s="321">
        <f>IF(year=bargiri[[#This Row],[سال]],1,0)</f>
        <v>1</v>
      </c>
      <c r="X514" s="1"/>
      <c r="Y514" s="1"/>
      <c r="Z514" s="1"/>
    </row>
    <row r="515" spans="1:26" ht="18.600000000000001" hidden="1" x14ac:dyDescent="0.25">
      <c r="A515" s="321" t="s">
        <v>339</v>
      </c>
      <c r="B515" s="321" t="s">
        <v>102</v>
      </c>
      <c r="C515" s="318" t="s">
        <v>24</v>
      </c>
      <c r="D515">
        <v>11710</v>
      </c>
      <c r="E515" s="143">
        <v>70000</v>
      </c>
      <c r="F515" s="117">
        <v>1404</v>
      </c>
      <c r="G515" s="321" t="s">
        <v>295</v>
      </c>
      <c r="H515" s="144">
        <f>bargiri[[#This Row],[میزان بارگیری شده]]*bargiri[[#This Row],[فی]]</f>
        <v>819700000</v>
      </c>
      <c r="I515" s="321">
        <f>IF(year=bargiri[[#This Row],[سال]],1,0)</f>
        <v>1</v>
      </c>
      <c r="X515" s="1"/>
      <c r="Y515" s="1"/>
      <c r="Z515" s="1"/>
    </row>
    <row r="516" spans="1:26" ht="18.600000000000001" x14ac:dyDescent="0.25">
      <c r="A516" s="321" t="s">
        <v>340</v>
      </c>
      <c r="B516" s="321" t="s">
        <v>118</v>
      </c>
      <c r="C516" s="318" t="s">
        <v>84</v>
      </c>
      <c r="D516">
        <v>20575</v>
      </c>
      <c r="E516" s="143">
        <v>57273</v>
      </c>
      <c r="F516" s="117">
        <v>1404</v>
      </c>
      <c r="G516" s="321" t="s">
        <v>295</v>
      </c>
      <c r="H516" s="144">
        <f>bargiri[[#This Row],[میزان بارگیری شده]]*bargiri[[#This Row],[فی]]</f>
        <v>1178391975</v>
      </c>
      <c r="I516" s="321">
        <f>IF(year=bargiri[[#This Row],[سال]],1,0)</f>
        <v>1</v>
      </c>
      <c r="X516" s="1"/>
      <c r="Y516" s="1"/>
      <c r="Z516" s="1"/>
    </row>
    <row r="517" spans="1:26" ht="18.600000000000001" x14ac:dyDescent="0.25">
      <c r="A517" s="321" t="s">
        <v>340</v>
      </c>
      <c r="B517" s="321" t="s">
        <v>118</v>
      </c>
      <c r="C517" s="318" t="s">
        <v>84</v>
      </c>
      <c r="D517">
        <v>20455</v>
      </c>
      <c r="E517" s="143">
        <v>57273</v>
      </c>
      <c r="F517" s="117">
        <v>1404</v>
      </c>
      <c r="G517" s="321" t="s">
        <v>295</v>
      </c>
      <c r="H517" s="144">
        <f>bargiri[[#This Row],[میزان بارگیری شده]]*bargiri[[#This Row],[فی]]</f>
        <v>1171519215</v>
      </c>
      <c r="I517" s="321">
        <f>IF(year=bargiri[[#This Row],[سال]],1,0)</f>
        <v>1</v>
      </c>
      <c r="X517" s="1"/>
      <c r="Y517" s="1"/>
      <c r="Z517" s="1"/>
    </row>
    <row r="518" spans="1:26" ht="18.600000000000001" x14ac:dyDescent="0.25">
      <c r="A518" s="321" t="s">
        <v>340</v>
      </c>
      <c r="B518" s="321" t="s">
        <v>118</v>
      </c>
      <c r="C518" s="318" t="s">
        <v>84</v>
      </c>
      <c r="D518">
        <v>20460</v>
      </c>
      <c r="E518" s="143">
        <v>57273</v>
      </c>
      <c r="F518" s="117">
        <v>1404</v>
      </c>
      <c r="G518" s="321" t="s">
        <v>295</v>
      </c>
      <c r="H518" s="144">
        <f>bargiri[[#This Row],[میزان بارگیری شده]]*bargiri[[#This Row],[فی]]</f>
        <v>1171805580</v>
      </c>
      <c r="I518" s="321">
        <f>IF(year=bargiri[[#This Row],[سال]],1,0)</f>
        <v>1</v>
      </c>
      <c r="X518" s="1"/>
      <c r="Y518" s="1"/>
      <c r="Z518" s="1"/>
    </row>
    <row r="519" spans="1:26" ht="18.600000000000001" x14ac:dyDescent="0.25">
      <c r="A519" s="321" t="s">
        <v>340</v>
      </c>
      <c r="B519" s="321" t="s">
        <v>118</v>
      </c>
      <c r="C519" s="318" t="s">
        <v>84</v>
      </c>
      <c r="D519">
        <v>20290</v>
      </c>
      <c r="E519" s="143">
        <v>57273</v>
      </c>
      <c r="F519" s="117">
        <v>1404</v>
      </c>
      <c r="G519" s="321" t="s">
        <v>295</v>
      </c>
      <c r="H519" s="144">
        <f>bargiri[[#This Row],[میزان بارگیری شده]]*bargiri[[#This Row],[فی]]</f>
        <v>1162069170</v>
      </c>
      <c r="I519" s="321">
        <f>IF(year=bargiri[[#This Row],[سال]],1,0)</f>
        <v>1</v>
      </c>
      <c r="X519" s="1"/>
      <c r="Y519" s="1"/>
      <c r="Z519" s="1"/>
    </row>
    <row r="520" spans="1:26" ht="18.600000000000001" hidden="1" x14ac:dyDescent="0.25">
      <c r="A520" s="321" t="s">
        <v>340</v>
      </c>
      <c r="B520" s="321" t="s">
        <v>120</v>
      </c>
      <c r="C520" s="318" t="s">
        <v>88</v>
      </c>
      <c r="D520">
        <v>9005</v>
      </c>
      <c r="E520" s="143">
        <v>80000</v>
      </c>
      <c r="F520" s="117">
        <v>1404</v>
      </c>
      <c r="G520" s="321" t="s">
        <v>295</v>
      </c>
      <c r="H520" s="144">
        <f>bargiri[[#This Row],[میزان بارگیری شده]]*bargiri[[#This Row],[فی]]</f>
        <v>720400000</v>
      </c>
      <c r="I520" s="321">
        <f>IF(year=bargiri[[#This Row],[سال]],1,0)</f>
        <v>1</v>
      </c>
      <c r="X520" s="1"/>
      <c r="Y520" s="1"/>
      <c r="Z520" s="1"/>
    </row>
    <row r="521" spans="1:26" ht="18.600000000000001" hidden="1" x14ac:dyDescent="0.25">
      <c r="A521" s="321" t="s">
        <v>340</v>
      </c>
      <c r="B521" s="321" t="s">
        <v>107</v>
      </c>
      <c r="C521" s="318" t="s">
        <v>50</v>
      </c>
      <c r="D521">
        <v>18995</v>
      </c>
      <c r="E521" s="143">
        <v>70000</v>
      </c>
      <c r="F521" s="117">
        <v>1404</v>
      </c>
      <c r="G521" s="321" t="s">
        <v>295</v>
      </c>
      <c r="H521" s="144">
        <f>bargiri[[#This Row],[میزان بارگیری شده]]*bargiri[[#This Row],[فی]]</f>
        <v>1329650000</v>
      </c>
      <c r="I521" s="321">
        <f>IF(year=bargiri[[#This Row],[سال]],1,0)</f>
        <v>1</v>
      </c>
      <c r="X521" s="1"/>
      <c r="Y521" s="1"/>
      <c r="Z521" s="1"/>
    </row>
    <row r="522" spans="1:26" ht="18.600000000000001" hidden="1" x14ac:dyDescent="0.25">
      <c r="A522" s="321" t="s">
        <v>340</v>
      </c>
      <c r="B522" s="321" t="s">
        <v>108</v>
      </c>
      <c r="C522" s="318" t="s">
        <v>52</v>
      </c>
      <c r="D522">
        <v>13605</v>
      </c>
      <c r="E522" s="143">
        <v>90000</v>
      </c>
      <c r="F522" s="117">
        <v>1404</v>
      </c>
      <c r="G522" s="321" t="s">
        <v>295</v>
      </c>
      <c r="H522" s="144">
        <f>bargiri[[#This Row],[میزان بارگیری شده]]*bargiri[[#This Row],[فی]]</f>
        <v>1224450000</v>
      </c>
      <c r="I522" s="321">
        <f>IF(year=bargiri[[#This Row],[سال]],1,0)</f>
        <v>1</v>
      </c>
      <c r="X522" s="1"/>
      <c r="Y522" s="1"/>
      <c r="Z522" s="1"/>
    </row>
    <row r="523" spans="1:26" ht="18.600000000000001" hidden="1" x14ac:dyDescent="0.25">
      <c r="A523" s="321" t="s">
        <v>341</v>
      </c>
      <c r="B523" s="321" t="s">
        <v>116</v>
      </c>
      <c r="C523" s="318" t="s">
        <v>77</v>
      </c>
      <c r="D523">
        <v>17900</v>
      </c>
      <c r="E523" s="143">
        <v>68500</v>
      </c>
      <c r="F523" s="117">
        <v>1404</v>
      </c>
      <c r="G523" s="321" t="s">
        <v>295</v>
      </c>
      <c r="H523" s="144">
        <f>bargiri[[#This Row],[میزان بارگیری شده]]*bargiri[[#This Row],[فی]]</f>
        <v>1226150000</v>
      </c>
      <c r="I523" s="321">
        <f>IF(year=bargiri[[#This Row],[سال]],1,0)</f>
        <v>1</v>
      </c>
      <c r="X523" s="1"/>
      <c r="Y523" s="1"/>
      <c r="Z523" s="1"/>
    </row>
    <row r="524" spans="1:26" ht="18.600000000000001" hidden="1" x14ac:dyDescent="0.25">
      <c r="A524" s="321" t="s">
        <v>341</v>
      </c>
      <c r="B524" s="321" t="s">
        <v>102</v>
      </c>
      <c r="C524" s="318" t="s">
        <v>24</v>
      </c>
      <c r="D524">
        <v>11795</v>
      </c>
      <c r="E524" s="143">
        <v>70000</v>
      </c>
      <c r="F524" s="117">
        <v>1404</v>
      </c>
      <c r="G524" s="321" t="s">
        <v>295</v>
      </c>
      <c r="H524" s="144">
        <f>bargiri[[#This Row],[میزان بارگیری شده]]*bargiri[[#This Row],[فی]]</f>
        <v>825650000</v>
      </c>
      <c r="I524" s="321">
        <f>IF(year=bargiri[[#This Row],[سال]],1,0)</f>
        <v>1</v>
      </c>
      <c r="X524" s="1"/>
      <c r="Y524" s="1"/>
      <c r="Z524" s="1"/>
    </row>
    <row r="525" spans="1:26" ht="18.600000000000001" x14ac:dyDescent="0.25">
      <c r="A525" s="321" t="s">
        <v>341</v>
      </c>
      <c r="B525" s="321" t="s">
        <v>118</v>
      </c>
      <c r="C525" s="318" t="s">
        <v>84</v>
      </c>
      <c r="D525">
        <v>20560</v>
      </c>
      <c r="E525" s="143">
        <v>57273</v>
      </c>
      <c r="F525" s="117">
        <v>1404</v>
      </c>
      <c r="G525" s="321" t="s">
        <v>295</v>
      </c>
      <c r="H525" s="144">
        <f>bargiri[[#This Row],[میزان بارگیری شده]]*bargiri[[#This Row],[فی]]</f>
        <v>1177532880</v>
      </c>
      <c r="I525" s="321">
        <f>IF(year=bargiri[[#This Row],[سال]],1,0)</f>
        <v>1</v>
      </c>
      <c r="X525" s="1"/>
      <c r="Y525" s="1"/>
      <c r="Z525" s="1"/>
    </row>
    <row r="526" spans="1:26" ht="18.600000000000001" x14ac:dyDescent="0.25">
      <c r="A526" s="321" t="s">
        <v>341</v>
      </c>
      <c r="B526" s="321" t="s">
        <v>118</v>
      </c>
      <c r="C526" s="318" t="s">
        <v>84</v>
      </c>
      <c r="D526">
        <v>20455</v>
      </c>
      <c r="E526" s="143">
        <v>57273</v>
      </c>
      <c r="F526" s="117">
        <v>1404</v>
      </c>
      <c r="G526" s="321" t="s">
        <v>295</v>
      </c>
      <c r="H526" s="144">
        <f>bargiri[[#This Row],[میزان بارگیری شده]]*bargiri[[#This Row],[فی]]</f>
        <v>1171519215</v>
      </c>
      <c r="I526" s="321">
        <f>IF(year=bargiri[[#This Row],[سال]],1,0)</f>
        <v>1</v>
      </c>
      <c r="X526" s="1"/>
      <c r="Y526" s="1"/>
      <c r="Z526" s="1"/>
    </row>
    <row r="527" spans="1:26" ht="18.600000000000001" x14ac:dyDescent="0.25">
      <c r="A527" s="321" t="s">
        <v>341</v>
      </c>
      <c r="B527" s="321" t="s">
        <v>118</v>
      </c>
      <c r="C527" s="318" t="s">
        <v>84</v>
      </c>
      <c r="D527">
        <v>20635</v>
      </c>
      <c r="E527" s="143">
        <v>57273</v>
      </c>
      <c r="F527" s="117">
        <v>1404</v>
      </c>
      <c r="G527" s="321" t="s">
        <v>295</v>
      </c>
      <c r="H527" s="144">
        <f>bargiri[[#This Row],[میزان بارگیری شده]]*bargiri[[#This Row],[فی]]</f>
        <v>1181828355</v>
      </c>
      <c r="I527" s="321">
        <f>IF(year=bargiri[[#This Row],[سال]],1,0)</f>
        <v>1</v>
      </c>
      <c r="X527" s="1"/>
      <c r="Y527" s="1"/>
      <c r="Z527" s="1"/>
    </row>
    <row r="528" spans="1:26" ht="18.600000000000001" hidden="1" x14ac:dyDescent="0.25">
      <c r="A528" s="321" t="s">
        <v>232</v>
      </c>
      <c r="B528" s="321" t="s">
        <v>106</v>
      </c>
      <c r="C528" s="318" t="s">
        <v>45</v>
      </c>
      <c r="D528">
        <v>5440</v>
      </c>
      <c r="E528" s="143">
        <v>80000</v>
      </c>
      <c r="F528" s="117">
        <v>1404</v>
      </c>
      <c r="G528" s="321" t="s">
        <v>295</v>
      </c>
      <c r="H528" s="144">
        <f>bargiri[[#This Row],[میزان بارگیری شده]]*bargiri[[#This Row],[فی]]</f>
        <v>435200000</v>
      </c>
      <c r="I528" s="321">
        <f>IF(year=bargiri[[#This Row],[سال]],1,0)</f>
        <v>1</v>
      </c>
      <c r="X528" s="1"/>
      <c r="Y528" s="1"/>
      <c r="Z528" s="1"/>
    </row>
    <row r="529" spans="1:26" ht="18.600000000000001" hidden="1" x14ac:dyDescent="0.25">
      <c r="A529" s="321" t="s">
        <v>232</v>
      </c>
      <c r="B529" s="321" t="s">
        <v>110</v>
      </c>
      <c r="C529" s="318" t="s">
        <v>57</v>
      </c>
      <c r="D529">
        <v>9430</v>
      </c>
      <c r="E529" s="143">
        <v>78000</v>
      </c>
      <c r="F529" s="117">
        <v>1404</v>
      </c>
      <c r="G529" s="321" t="s">
        <v>295</v>
      </c>
      <c r="H529" s="144">
        <f>bargiri[[#This Row],[میزان بارگیری شده]]*bargiri[[#This Row],[فی]]</f>
        <v>735540000</v>
      </c>
      <c r="I529" s="321">
        <f>IF(year=bargiri[[#This Row],[سال]],1,0)</f>
        <v>1</v>
      </c>
      <c r="X529" s="1"/>
      <c r="Y529" s="1"/>
      <c r="Z529" s="1"/>
    </row>
    <row r="530" spans="1:26" ht="18.600000000000001" hidden="1" x14ac:dyDescent="0.25">
      <c r="A530" s="321" t="s">
        <v>232</v>
      </c>
      <c r="B530" s="321" t="s">
        <v>103</v>
      </c>
      <c r="C530" s="318" t="s">
        <v>29</v>
      </c>
      <c r="D530">
        <v>7405</v>
      </c>
      <c r="E530" s="143">
        <v>75000</v>
      </c>
      <c r="F530" s="117">
        <v>1404</v>
      </c>
      <c r="G530" s="321" t="s">
        <v>295</v>
      </c>
      <c r="H530" s="144">
        <f>bargiri[[#This Row],[میزان بارگیری شده]]*bargiri[[#This Row],[فی]]</f>
        <v>555375000</v>
      </c>
      <c r="I530" s="321">
        <f>IF(year=bargiri[[#This Row],[سال]],1,0)</f>
        <v>1</v>
      </c>
      <c r="X530" s="1"/>
      <c r="Y530" s="1"/>
      <c r="Z530" s="1"/>
    </row>
    <row r="531" spans="1:26" ht="18.600000000000001" hidden="1" x14ac:dyDescent="0.25">
      <c r="A531" s="321" t="s">
        <v>232</v>
      </c>
      <c r="B531" s="321" t="s">
        <v>106</v>
      </c>
      <c r="C531" s="318" t="s">
        <v>45</v>
      </c>
      <c r="D531">
        <v>5410</v>
      </c>
      <c r="E531" s="143">
        <v>80000</v>
      </c>
      <c r="F531" s="117">
        <v>1404</v>
      </c>
      <c r="G531" s="321" t="s">
        <v>295</v>
      </c>
      <c r="H531" s="144">
        <f>bargiri[[#This Row],[میزان بارگیری شده]]*bargiri[[#This Row],[فی]]</f>
        <v>432800000</v>
      </c>
      <c r="I531" s="321">
        <f>IF(year=bargiri[[#This Row],[سال]],1,0)</f>
        <v>1</v>
      </c>
      <c r="X531" s="1"/>
      <c r="Y531" s="1"/>
      <c r="Z531" s="1"/>
    </row>
    <row r="532" spans="1:26" ht="18.600000000000001" hidden="1" x14ac:dyDescent="0.25">
      <c r="A532" s="321" t="s">
        <v>232</v>
      </c>
      <c r="B532" s="321" t="s">
        <v>103</v>
      </c>
      <c r="C532" s="318" t="s">
        <v>29</v>
      </c>
      <c r="D532">
        <v>7370</v>
      </c>
      <c r="E532" s="143">
        <v>75000</v>
      </c>
      <c r="F532" s="117">
        <v>1404</v>
      </c>
      <c r="G532" s="321" t="s">
        <v>295</v>
      </c>
      <c r="H532" s="144">
        <f>bargiri[[#This Row],[میزان بارگیری شده]]*bargiri[[#This Row],[فی]]</f>
        <v>552750000</v>
      </c>
      <c r="I532" s="321">
        <f>IF(year=bargiri[[#This Row],[سال]],1,0)</f>
        <v>1</v>
      </c>
      <c r="X532" s="1"/>
      <c r="Y532" s="1"/>
      <c r="Z532" s="1"/>
    </row>
    <row r="533" spans="1:26" ht="18.600000000000001" hidden="1" x14ac:dyDescent="0.25">
      <c r="A533" s="321" t="s">
        <v>232</v>
      </c>
      <c r="B533" s="321" t="s">
        <v>111</v>
      </c>
      <c r="C533" s="318" t="s">
        <v>59</v>
      </c>
      <c r="D533">
        <v>4620</v>
      </c>
      <c r="E533" s="143">
        <v>80000</v>
      </c>
      <c r="F533" s="117">
        <v>1404</v>
      </c>
      <c r="G533" s="321" t="s">
        <v>295</v>
      </c>
      <c r="H533" s="144">
        <f>bargiri[[#This Row],[میزان بارگیری شده]]*bargiri[[#This Row],[فی]]</f>
        <v>369600000</v>
      </c>
      <c r="I533" s="321">
        <f>IF(year=bargiri[[#This Row],[سال]],1,0)</f>
        <v>1</v>
      </c>
      <c r="X533" s="1"/>
      <c r="Y533" s="1"/>
      <c r="Z533" s="1"/>
    </row>
    <row r="534" spans="1:26" ht="18.600000000000001" hidden="1" x14ac:dyDescent="0.25">
      <c r="A534" s="321" t="s">
        <v>232</v>
      </c>
      <c r="B534" s="321" t="s">
        <v>111</v>
      </c>
      <c r="C534" s="318" t="s">
        <v>129</v>
      </c>
      <c r="D534">
        <v>5330</v>
      </c>
      <c r="E534" s="143">
        <v>120000</v>
      </c>
      <c r="F534" s="117">
        <v>1404</v>
      </c>
      <c r="G534" s="321" t="s">
        <v>295</v>
      </c>
      <c r="H534" s="144">
        <f>bargiri[[#This Row],[میزان بارگیری شده]]*bargiri[[#This Row],[فی]]</f>
        <v>639600000</v>
      </c>
      <c r="I534" s="321">
        <f>IF(year=bargiri[[#This Row],[سال]],1,0)</f>
        <v>1</v>
      </c>
      <c r="X534" s="1"/>
      <c r="Y534" s="1"/>
      <c r="Z534" s="1"/>
    </row>
    <row r="535" spans="1:26" ht="18.600000000000001" hidden="1" x14ac:dyDescent="0.25">
      <c r="A535" s="321" t="s">
        <v>232</v>
      </c>
      <c r="B535" s="321" t="s">
        <v>114</v>
      </c>
      <c r="C535" s="318" t="s">
        <v>63</v>
      </c>
      <c r="D535">
        <v>21135</v>
      </c>
      <c r="E535" s="143">
        <v>75000</v>
      </c>
      <c r="F535" s="117">
        <v>1404</v>
      </c>
      <c r="G535" s="321" t="s">
        <v>295</v>
      </c>
      <c r="H535" s="144">
        <f>bargiri[[#This Row],[میزان بارگیری شده]]*bargiri[[#This Row],[فی]]</f>
        <v>1585125000</v>
      </c>
      <c r="I535" s="321">
        <f>IF(year=bargiri[[#This Row],[سال]],1,0)</f>
        <v>1</v>
      </c>
      <c r="X535" s="1"/>
      <c r="Y535" s="1"/>
      <c r="Z535" s="1"/>
    </row>
    <row r="536" spans="1:26" ht="18.600000000000001" hidden="1" x14ac:dyDescent="0.25">
      <c r="A536" s="321" t="s">
        <v>232</v>
      </c>
      <c r="B536" s="321" t="s">
        <v>106</v>
      </c>
      <c r="C536" s="318" t="s">
        <v>45</v>
      </c>
      <c r="D536">
        <v>5405</v>
      </c>
      <c r="E536" s="143">
        <v>80000</v>
      </c>
      <c r="F536" s="117">
        <v>1404</v>
      </c>
      <c r="G536" s="321" t="s">
        <v>295</v>
      </c>
      <c r="H536" s="144">
        <f>bargiri[[#This Row],[میزان بارگیری شده]]*bargiri[[#This Row],[فی]]</f>
        <v>432400000</v>
      </c>
      <c r="I536" s="321">
        <f>IF(year=bargiri[[#This Row],[سال]],1,0)</f>
        <v>1</v>
      </c>
      <c r="X536" s="1"/>
      <c r="Y536" s="1"/>
      <c r="Z536" s="1"/>
    </row>
    <row r="537" spans="1:26" ht="18.600000000000001" hidden="1" x14ac:dyDescent="0.25">
      <c r="A537" s="321" t="s">
        <v>184</v>
      </c>
      <c r="B537" s="321" t="s">
        <v>106</v>
      </c>
      <c r="C537" s="318" t="s">
        <v>45</v>
      </c>
      <c r="D537">
        <v>5445</v>
      </c>
      <c r="E537" s="143">
        <v>80000</v>
      </c>
      <c r="F537" s="117">
        <v>1404</v>
      </c>
      <c r="G537" s="321" t="s">
        <v>295</v>
      </c>
      <c r="H537" s="144">
        <f>bargiri[[#This Row],[میزان بارگیری شده]]*bargiri[[#This Row],[فی]]</f>
        <v>435600000</v>
      </c>
      <c r="I537" s="321">
        <f>IF(year=bargiri[[#This Row],[سال]],1,0)</f>
        <v>1</v>
      </c>
      <c r="X537" s="1"/>
      <c r="Y537" s="1"/>
      <c r="Z537" s="1"/>
    </row>
    <row r="538" spans="1:26" ht="18.600000000000001" hidden="1" x14ac:dyDescent="0.25">
      <c r="A538" s="321" t="s">
        <v>184</v>
      </c>
      <c r="B538" s="321" t="s">
        <v>116</v>
      </c>
      <c r="C538" s="318" t="s">
        <v>77</v>
      </c>
      <c r="D538">
        <v>19990</v>
      </c>
      <c r="E538" s="143">
        <v>68500</v>
      </c>
      <c r="F538" s="117">
        <v>1404</v>
      </c>
      <c r="G538" s="321" t="s">
        <v>295</v>
      </c>
      <c r="H538" s="144">
        <f>bargiri[[#This Row],[میزان بارگیری شده]]*bargiri[[#This Row],[فی]]</f>
        <v>1369315000</v>
      </c>
      <c r="I538" s="321">
        <f>IF(year=bargiri[[#This Row],[سال]],1,0)</f>
        <v>1</v>
      </c>
      <c r="X538" s="1"/>
      <c r="Y538" s="1"/>
      <c r="Z538" s="1"/>
    </row>
    <row r="539" spans="1:26" ht="18.600000000000001" hidden="1" x14ac:dyDescent="0.25">
      <c r="A539" s="321" t="s">
        <v>184</v>
      </c>
      <c r="B539" s="321" t="s">
        <v>114</v>
      </c>
      <c r="C539" s="318" t="s">
        <v>63</v>
      </c>
      <c r="D539">
        <v>21985</v>
      </c>
      <c r="E539" s="143">
        <v>75000</v>
      </c>
      <c r="F539" s="117">
        <v>1404</v>
      </c>
      <c r="G539" s="321" t="s">
        <v>295</v>
      </c>
      <c r="H539" s="144">
        <f>bargiri[[#This Row],[میزان بارگیری شده]]*bargiri[[#This Row],[فی]]</f>
        <v>1648875000</v>
      </c>
      <c r="I539" s="321">
        <f>IF(year=bargiri[[#This Row],[سال]],1,0)</f>
        <v>1</v>
      </c>
      <c r="X539" s="1"/>
      <c r="Y539" s="1"/>
      <c r="Z539" s="1"/>
    </row>
    <row r="540" spans="1:26" ht="18.600000000000001" hidden="1" x14ac:dyDescent="0.25">
      <c r="A540" s="321" t="s">
        <v>184</v>
      </c>
      <c r="B540" s="321" t="s">
        <v>102</v>
      </c>
      <c r="C540" s="318" t="s">
        <v>24</v>
      </c>
      <c r="D540">
        <v>11835</v>
      </c>
      <c r="E540" s="143">
        <v>70000</v>
      </c>
      <c r="F540" s="117">
        <v>1404</v>
      </c>
      <c r="G540" s="321" t="s">
        <v>295</v>
      </c>
      <c r="H540" s="144">
        <f>bargiri[[#This Row],[میزان بارگیری شده]]*bargiri[[#This Row],[فی]]</f>
        <v>828450000</v>
      </c>
      <c r="I540" s="321">
        <f>IF(year=bargiri[[#This Row],[سال]],1,0)</f>
        <v>1</v>
      </c>
      <c r="X540" s="1"/>
      <c r="Y540" s="1"/>
      <c r="Z540" s="1"/>
    </row>
    <row r="541" spans="1:26" ht="18.600000000000001" hidden="1" x14ac:dyDescent="0.25">
      <c r="A541" s="321" t="s">
        <v>184</v>
      </c>
      <c r="B541" s="321" t="s">
        <v>98</v>
      </c>
      <c r="C541" s="318" t="s">
        <v>4</v>
      </c>
      <c r="D541">
        <v>22240</v>
      </c>
      <c r="E541" s="143">
        <v>65000</v>
      </c>
      <c r="F541" s="117">
        <v>1404</v>
      </c>
      <c r="G541" s="321" t="s">
        <v>295</v>
      </c>
      <c r="H541" s="144">
        <f>bargiri[[#This Row],[میزان بارگیری شده]]*bargiri[[#This Row],[فی]]</f>
        <v>1445600000</v>
      </c>
      <c r="I541" s="321">
        <f>IF(year=bargiri[[#This Row],[سال]],1,0)</f>
        <v>1</v>
      </c>
      <c r="X541" s="1"/>
      <c r="Y541" s="1"/>
      <c r="Z541" s="1"/>
    </row>
    <row r="542" spans="1:26" ht="18.600000000000001" hidden="1" x14ac:dyDescent="0.25">
      <c r="A542" s="321" t="s">
        <v>184</v>
      </c>
      <c r="B542" s="321" t="s">
        <v>111</v>
      </c>
      <c r="C542" s="318" t="s">
        <v>59</v>
      </c>
      <c r="D542">
        <v>9930</v>
      </c>
      <c r="E542" s="143">
        <v>80000</v>
      </c>
      <c r="F542" s="117">
        <v>1404</v>
      </c>
      <c r="G542" s="321" t="s">
        <v>295</v>
      </c>
      <c r="H542" s="144">
        <f>bargiri[[#This Row],[میزان بارگیری شده]]*bargiri[[#This Row],[فی]]</f>
        <v>794400000</v>
      </c>
      <c r="I542" s="321">
        <f>IF(year=bargiri[[#This Row],[سال]],1,0)</f>
        <v>1</v>
      </c>
      <c r="X542" s="1"/>
      <c r="Y542" s="1"/>
      <c r="Z542" s="1"/>
    </row>
    <row r="543" spans="1:26" ht="18.600000000000001" hidden="1" x14ac:dyDescent="0.25">
      <c r="A543" s="321" t="s">
        <v>184</v>
      </c>
      <c r="B543" s="321" t="s">
        <v>110</v>
      </c>
      <c r="C543" s="318" t="s">
        <v>57</v>
      </c>
      <c r="D543">
        <v>14955</v>
      </c>
      <c r="E543" s="143">
        <v>78000</v>
      </c>
      <c r="F543" s="117">
        <v>1404</v>
      </c>
      <c r="G543" s="321" t="s">
        <v>295</v>
      </c>
      <c r="H543" s="144">
        <f>bargiri[[#This Row],[میزان بارگیری شده]]*bargiri[[#This Row],[فی]]</f>
        <v>1166490000</v>
      </c>
      <c r="I543" s="321">
        <f>IF(year=bargiri[[#This Row],[سال]],1,0)</f>
        <v>1</v>
      </c>
      <c r="X543" s="1"/>
      <c r="Y543" s="1"/>
      <c r="Z543" s="1"/>
    </row>
    <row r="544" spans="1:26" ht="18.600000000000001" x14ac:dyDescent="0.25">
      <c r="A544" s="321" t="s">
        <v>184</v>
      </c>
      <c r="B544" s="321" t="s">
        <v>118</v>
      </c>
      <c r="C544" s="318" t="s">
        <v>84</v>
      </c>
      <c r="D544">
        <v>20790</v>
      </c>
      <c r="E544" s="143">
        <v>57273</v>
      </c>
      <c r="F544" s="117">
        <v>1404</v>
      </c>
      <c r="G544" s="321" t="s">
        <v>295</v>
      </c>
      <c r="H544" s="144">
        <f>bargiri[[#This Row],[میزان بارگیری شده]]*bargiri[[#This Row],[فی]]</f>
        <v>1190705670</v>
      </c>
      <c r="I544" s="321">
        <f>IF(year=bargiri[[#This Row],[سال]],1,0)</f>
        <v>1</v>
      </c>
      <c r="X544" s="1"/>
      <c r="Y544" s="1"/>
      <c r="Z544" s="1"/>
    </row>
    <row r="545" spans="1:26" ht="18.600000000000001" x14ac:dyDescent="0.25">
      <c r="A545" s="321" t="s">
        <v>184</v>
      </c>
      <c r="B545" s="321" t="s">
        <v>118</v>
      </c>
      <c r="C545" s="318" t="s">
        <v>84</v>
      </c>
      <c r="D545">
        <v>20795</v>
      </c>
      <c r="E545" s="143">
        <v>57273</v>
      </c>
      <c r="F545" s="117">
        <v>1404</v>
      </c>
      <c r="G545" s="321" t="s">
        <v>295</v>
      </c>
      <c r="H545" s="144">
        <f>bargiri[[#This Row],[میزان بارگیری شده]]*bargiri[[#This Row],[فی]]</f>
        <v>1190992035</v>
      </c>
      <c r="I545" s="321">
        <f>IF(year=bargiri[[#This Row],[سال]],1,0)</f>
        <v>1</v>
      </c>
      <c r="X545" s="1"/>
      <c r="Y545" s="1"/>
      <c r="Z545" s="1"/>
    </row>
    <row r="546" spans="1:26" ht="18.600000000000001" hidden="1" x14ac:dyDescent="0.25">
      <c r="A546" s="321" t="s">
        <v>184</v>
      </c>
      <c r="B546" s="321" t="s">
        <v>107</v>
      </c>
      <c r="C546" s="318" t="s">
        <v>50</v>
      </c>
      <c r="D546">
        <v>19205</v>
      </c>
      <c r="E546" s="143">
        <v>70000</v>
      </c>
      <c r="F546" s="117">
        <v>1404</v>
      </c>
      <c r="G546" s="321" t="s">
        <v>295</v>
      </c>
      <c r="H546" s="144">
        <f>bargiri[[#This Row],[میزان بارگیری شده]]*bargiri[[#This Row],[فی]]</f>
        <v>1344350000</v>
      </c>
      <c r="I546" s="321">
        <f>IF(year=bargiri[[#This Row],[سال]],1,0)</f>
        <v>1</v>
      </c>
      <c r="X546" s="1"/>
      <c r="Y546" s="1"/>
      <c r="Z546" s="1"/>
    </row>
    <row r="547" spans="1:26" ht="18.600000000000001" hidden="1" x14ac:dyDescent="0.25">
      <c r="A547" s="321" t="s">
        <v>184</v>
      </c>
      <c r="B547" s="321" t="s">
        <v>114</v>
      </c>
      <c r="C547" s="318" t="s">
        <v>63</v>
      </c>
      <c r="D547">
        <v>22160</v>
      </c>
      <c r="E547" s="143">
        <v>75000</v>
      </c>
      <c r="F547" s="117">
        <v>1404</v>
      </c>
      <c r="G547" s="321" t="s">
        <v>295</v>
      </c>
      <c r="H547" s="144">
        <f>bargiri[[#This Row],[میزان بارگیری شده]]*bargiri[[#This Row],[فی]]</f>
        <v>1662000000</v>
      </c>
      <c r="I547" s="321">
        <f>IF(year=bargiri[[#This Row],[سال]],1,0)</f>
        <v>1</v>
      </c>
      <c r="X547" s="1"/>
      <c r="Y547" s="1"/>
      <c r="Z547" s="1"/>
    </row>
    <row r="548" spans="1:26" ht="18.600000000000001" hidden="1" x14ac:dyDescent="0.25">
      <c r="A548" s="321" t="s">
        <v>184</v>
      </c>
      <c r="B548" s="321" t="s">
        <v>120</v>
      </c>
      <c r="C548" s="318" t="s">
        <v>88</v>
      </c>
      <c r="D548">
        <v>8970</v>
      </c>
      <c r="E548" s="143">
        <v>80000</v>
      </c>
      <c r="F548" s="117">
        <v>1404</v>
      </c>
      <c r="G548" s="321" t="s">
        <v>295</v>
      </c>
      <c r="H548" s="144">
        <f>bargiri[[#This Row],[میزان بارگیری شده]]*bargiri[[#This Row],[فی]]</f>
        <v>717600000</v>
      </c>
      <c r="I548" s="321">
        <f>IF(year=bargiri[[#This Row],[سال]],1,0)</f>
        <v>1</v>
      </c>
      <c r="X548" s="1"/>
      <c r="Y548" s="1"/>
      <c r="Z548" s="1"/>
    </row>
    <row r="549" spans="1:26" ht="18.600000000000001" hidden="1" x14ac:dyDescent="0.25">
      <c r="A549" s="321" t="s">
        <v>184</v>
      </c>
      <c r="B549" s="321" t="s">
        <v>106</v>
      </c>
      <c r="C549" s="318" t="s">
        <v>45</v>
      </c>
      <c r="D549">
        <v>5405</v>
      </c>
      <c r="E549" s="143">
        <v>80000</v>
      </c>
      <c r="F549" s="117">
        <v>1404</v>
      </c>
      <c r="G549" s="321" t="s">
        <v>295</v>
      </c>
      <c r="H549" s="144">
        <f>bargiri[[#This Row],[میزان بارگیری شده]]*bargiri[[#This Row],[فی]]</f>
        <v>432400000</v>
      </c>
      <c r="I549" s="321">
        <f>IF(year=bargiri[[#This Row],[سال]],1,0)</f>
        <v>1</v>
      </c>
      <c r="X549" s="1"/>
      <c r="Y549" s="1"/>
      <c r="Z549" s="1"/>
    </row>
    <row r="550" spans="1:26" ht="18.600000000000001" hidden="1" x14ac:dyDescent="0.25">
      <c r="A550" s="321" t="s">
        <v>184</v>
      </c>
      <c r="B550" s="321" t="s">
        <v>120</v>
      </c>
      <c r="C550" s="318" t="s">
        <v>88</v>
      </c>
      <c r="D550">
        <v>9085</v>
      </c>
      <c r="E550" s="143">
        <v>80000</v>
      </c>
      <c r="F550" s="117">
        <v>1404</v>
      </c>
      <c r="G550" s="321" t="s">
        <v>295</v>
      </c>
      <c r="H550" s="144">
        <f>bargiri[[#This Row],[میزان بارگیری شده]]*bargiri[[#This Row],[فی]]</f>
        <v>726800000</v>
      </c>
      <c r="I550" s="321">
        <f>IF(year=bargiri[[#This Row],[سال]],1,0)</f>
        <v>1</v>
      </c>
      <c r="X550" s="1"/>
      <c r="Y550" s="1"/>
      <c r="Z550" s="1"/>
    </row>
    <row r="551" spans="1:26" ht="18.600000000000001" hidden="1" x14ac:dyDescent="0.25">
      <c r="A551" s="321" t="s">
        <v>184</v>
      </c>
      <c r="B551" s="321" t="s">
        <v>106</v>
      </c>
      <c r="C551" s="318" t="s">
        <v>45</v>
      </c>
      <c r="D551">
        <v>5435</v>
      </c>
      <c r="E551" s="143">
        <v>80000</v>
      </c>
      <c r="F551" s="117">
        <v>1404</v>
      </c>
      <c r="G551" s="321" t="s">
        <v>295</v>
      </c>
      <c r="H551" s="144">
        <f>bargiri[[#This Row],[میزان بارگیری شده]]*bargiri[[#This Row],[فی]]</f>
        <v>434800000</v>
      </c>
      <c r="I551" s="321">
        <f>IF(year=bargiri[[#This Row],[سال]],1,0)</f>
        <v>1</v>
      </c>
      <c r="X551" s="1"/>
      <c r="Y551" s="1"/>
      <c r="Z551" s="1"/>
    </row>
    <row r="552" spans="1:26" ht="18.600000000000001" hidden="1" x14ac:dyDescent="0.25">
      <c r="A552" s="321" t="s">
        <v>184</v>
      </c>
      <c r="B552" s="321" t="s">
        <v>106</v>
      </c>
      <c r="C552" s="318" t="s">
        <v>45</v>
      </c>
      <c r="D552">
        <v>5390</v>
      </c>
      <c r="E552" s="143">
        <v>80000</v>
      </c>
      <c r="F552" s="117">
        <v>1404</v>
      </c>
      <c r="G552" s="321" t="s">
        <v>295</v>
      </c>
      <c r="H552" s="144">
        <f>bargiri[[#This Row],[میزان بارگیری شده]]*bargiri[[#This Row],[فی]]</f>
        <v>431200000</v>
      </c>
      <c r="I552" s="321">
        <f>IF(year=bargiri[[#This Row],[سال]],1,0)</f>
        <v>1</v>
      </c>
      <c r="X552" s="1"/>
      <c r="Y552" s="1"/>
      <c r="Z552" s="1"/>
    </row>
    <row r="553" spans="1:26" ht="18.600000000000001" hidden="1" x14ac:dyDescent="0.25">
      <c r="A553" s="321" t="s">
        <v>184</v>
      </c>
      <c r="B553" s="321" t="s">
        <v>106</v>
      </c>
      <c r="C553" s="318" t="s">
        <v>45</v>
      </c>
      <c r="D553">
        <v>5405</v>
      </c>
      <c r="E553" s="143">
        <v>80000</v>
      </c>
      <c r="F553" s="117">
        <v>1404</v>
      </c>
      <c r="G553" s="321" t="s">
        <v>295</v>
      </c>
      <c r="H553" s="144">
        <f>bargiri[[#This Row],[میزان بارگیری شده]]*bargiri[[#This Row],[فی]]</f>
        <v>432400000</v>
      </c>
      <c r="I553" s="321">
        <f>IF(year=bargiri[[#This Row],[سال]],1,0)</f>
        <v>1</v>
      </c>
      <c r="X553" s="1"/>
      <c r="Y553" s="1"/>
      <c r="Z553" s="1"/>
    </row>
    <row r="554" spans="1:26" ht="18.600000000000001" hidden="1" x14ac:dyDescent="0.25">
      <c r="A554" s="321" t="s">
        <v>184</v>
      </c>
      <c r="B554" s="321" t="s">
        <v>103</v>
      </c>
      <c r="C554" s="318" t="s">
        <v>29</v>
      </c>
      <c r="D554">
        <v>7390</v>
      </c>
      <c r="E554" s="143">
        <v>75000</v>
      </c>
      <c r="F554" s="117">
        <v>1404</v>
      </c>
      <c r="G554" s="321" t="s">
        <v>295</v>
      </c>
      <c r="H554" s="144">
        <f>bargiri[[#This Row],[میزان بارگیری شده]]*bargiri[[#This Row],[فی]]</f>
        <v>554250000</v>
      </c>
      <c r="I554" s="321">
        <f>IF(year=bargiri[[#This Row],[سال]],1,0)</f>
        <v>1</v>
      </c>
      <c r="X554" s="1"/>
      <c r="Y554" s="1"/>
      <c r="Z554" s="1"/>
    </row>
    <row r="555" spans="1:26" ht="18.600000000000001" hidden="1" x14ac:dyDescent="0.25">
      <c r="A555" s="321" t="s">
        <v>184</v>
      </c>
      <c r="B555" s="321" t="s">
        <v>103</v>
      </c>
      <c r="C555" s="318" t="s">
        <v>29</v>
      </c>
      <c r="D555">
        <v>7365</v>
      </c>
      <c r="E555" s="143">
        <v>75000</v>
      </c>
      <c r="F555" s="117">
        <v>1404</v>
      </c>
      <c r="G555" s="321" t="s">
        <v>295</v>
      </c>
      <c r="H555" s="144">
        <f>bargiri[[#This Row],[میزان بارگیری شده]]*bargiri[[#This Row],[فی]]</f>
        <v>552375000</v>
      </c>
      <c r="I555" s="321">
        <f>IF(year=bargiri[[#This Row],[سال]],1,0)</f>
        <v>1</v>
      </c>
      <c r="X555" s="1"/>
      <c r="Y555" s="1"/>
      <c r="Z555" s="1"/>
    </row>
    <row r="556" spans="1:26" ht="18.600000000000001" hidden="1" x14ac:dyDescent="0.25">
      <c r="A556" s="321" t="s">
        <v>184</v>
      </c>
      <c r="B556" s="321" t="s">
        <v>107</v>
      </c>
      <c r="C556" s="318" t="s">
        <v>50</v>
      </c>
      <c r="D556">
        <v>18840</v>
      </c>
      <c r="E556" s="143">
        <v>70000</v>
      </c>
      <c r="F556" s="117">
        <v>1404</v>
      </c>
      <c r="G556" s="321" t="s">
        <v>295</v>
      </c>
      <c r="H556" s="144">
        <f>bargiri[[#This Row],[میزان بارگیری شده]]*bargiri[[#This Row],[فی]]</f>
        <v>1318800000</v>
      </c>
      <c r="I556" s="321">
        <f>IF(year=bargiri[[#This Row],[سال]],1,0)</f>
        <v>1</v>
      </c>
      <c r="X556" s="1"/>
      <c r="Y556" s="1"/>
      <c r="Z556" s="1"/>
    </row>
    <row r="557" spans="1:26" ht="18.600000000000001" hidden="1" x14ac:dyDescent="0.25">
      <c r="A557" s="321" t="s">
        <v>184</v>
      </c>
      <c r="B557" s="321" t="s">
        <v>116</v>
      </c>
      <c r="C557" s="318" t="s">
        <v>77</v>
      </c>
      <c r="D557">
        <v>14040</v>
      </c>
      <c r="E557" s="143">
        <v>68500</v>
      </c>
      <c r="F557" s="117">
        <v>1404</v>
      </c>
      <c r="G557" s="321" t="s">
        <v>295</v>
      </c>
      <c r="H557" s="144">
        <f>bargiri[[#This Row],[میزان بارگیری شده]]*bargiri[[#This Row],[فی]]</f>
        <v>961740000</v>
      </c>
      <c r="I557" s="321">
        <f>IF(year=bargiri[[#This Row],[سال]],1,0)</f>
        <v>1</v>
      </c>
      <c r="X557" s="1"/>
      <c r="Y557" s="1"/>
      <c r="Z557" s="1"/>
    </row>
    <row r="558" spans="1:26" ht="18.600000000000001" hidden="1" x14ac:dyDescent="0.25">
      <c r="A558" s="321" t="s">
        <v>184</v>
      </c>
      <c r="B558" s="321" t="s">
        <v>106</v>
      </c>
      <c r="C558" s="318" t="s">
        <v>45</v>
      </c>
      <c r="D558">
        <v>5290</v>
      </c>
      <c r="E558" s="143">
        <v>80000</v>
      </c>
      <c r="F558" s="117">
        <v>1404</v>
      </c>
      <c r="G558" s="321" t="s">
        <v>295</v>
      </c>
      <c r="H558" s="144">
        <f>bargiri[[#This Row],[میزان بارگیری شده]]*bargiri[[#This Row],[فی]]</f>
        <v>423200000</v>
      </c>
      <c r="I558" s="321">
        <f>IF(year=bargiri[[#This Row],[سال]],1,0)</f>
        <v>1</v>
      </c>
      <c r="X558" s="1"/>
      <c r="Y558" s="1"/>
      <c r="Z558" s="1"/>
    </row>
    <row r="559" spans="1:26" ht="18.600000000000001" hidden="1" x14ac:dyDescent="0.25">
      <c r="A559" s="321" t="s">
        <v>184</v>
      </c>
      <c r="B559" s="321" t="s">
        <v>106</v>
      </c>
      <c r="C559" s="318" t="s">
        <v>45</v>
      </c>
      <c r="D559">
        <v>5355</v>
      </c>
      <c r="E559" s="143">
        <v>80000</v>
      </c>
      <c r="F559" s="117">
        <v>1404</v>
      </c>
      <c r="G559" s="321" t="s">
        <v>295</v>
      </c>
      <c r="H559" s="144">
        <f>bargiri[[#This Row],[میزان بارگیری شده]]*bargiri[[#This Row],[فی]]</f>
        <v>428400000</v>
      </c>
      <c r="I559" s="321">
        <f>IF(year=bargiri[[#This Row],[سال]],1,0)</f>
        <v>1</v>
      </c>
      <c r="X559" s="1"/>
      <c r="Y559" s="1"/>
      <c r="Z559" s="1"/>
    </row>
    <row r="560" spans="1:26" ht="18.600000000000001" hidden="1" x14ac:dyDescent="0.25">
      <c r="A560" s="321" t="s">
        <v>184</v>
      </c>
      <c r="B560" s="321" t="s">
        <v>103</v>
      </c>
      <c r="C560" s="318" t="s">
        <v>29</v>
      </c>
      <c r="D560">
        <v>7505</v>
      </c>
      <c r="E560" s="143">
        <v>75000</v>
      </c>
      <c r="F560" s="117">
        <v>1404</v>
      </c>
      <c r="G560" s="321" t="s">
        <v>295</v>
      </c>
      <c r="H560" s="144">
        <f>bargiri[[#This Row],[میزان بارگیری شده]]*bargiri[[#This Row],[فی]]</f>
        <v>562875000</v>
      </c>
      <c r="I560" s="321">
        <f>IF(year=bargiri[[#This Row],[سال]],1,0)</f>
        <v>1</v>
      </c>
      <c r="X560" s="1"/>
      <c r="Y560" s="1"/>
      <c r="Z560" s="1"/>
    </row>
    <row r="561" spans="1:26" ht="18.600000000000001" hidden="1" x14ac:dyDescent="0.25">
      <c r="A561" s="321" t="s">
        <v>184</v>
      </c>
      <c r="B561" s="321" t="s">
        <v>116</v>
      </c>
      <c r="C561" s="318" t="s">
        <v>77</v>
      </c>
      <c r="D561">
        <v>19655</v>
      </c>
      <c r="E561" s="143">
        <v>68500</v>
      </c>
      <c r="F561" s="117">
        <v>1404</v>
      </c>
      <c r="G561" s="321" t="s">
        <v>295</v>
      </c>
      <c r="H561" s="144">
        <f>bargiri[[#This Row],[میزان بارگیری شده]]*bargiri[[#This Row],[فی]]</f>
        <v>1346367500</v>
      </c>
      <c r="I561" s="321">
        <f>IF(year=bargiri[[#This Row],[سال]],1,0)</f>
        <v>1</v>
      </c>
      <c r="X561" s="1"/>
      <c r="Y561" s="1"/>
      <c r="Z561" s="1"/>
    </row>
    <row r="562" spans="1:26" ht="18.600000000000001" hidden="1" x14ac:dyDescent="0.25">
      <c r="A562" s="321" t="s">
        <v>184</v>
      </c>
      <c r="B562" s="321" t="s">
        <v>103</v>
      </c>
      <c r="C562" s="318" t="s">
        <v>29</v>
      </c>
      <c r="D562">
        <v>7440</v>
      </c>
      <c r="E562" s="143">
        <v>75000</v>
      </c>
      <c r="F562" s="117">
        <v>1404</v>
      </c>
      <c r="G562" s="321" t="s">
        <v>295</v>
      </c>
      <c r="H562" s="144">
        <f>bargiri[[#This Row],[میزان بارگیری شده]]*bargiri[[#This Row],[فی]]</f>
        <v>558000000</v>
      </c>
      <c r="I562" s="321">
        <f>IF(year=bargiri[[#This Row],[سال]],1,0)</f>
        <v>1</v>
      </c>
      <c r="X562" s="1"/>
      <c r="Y562" s="1"/>
      <c r="Z562" s="1"/>
    </row>
    <row r="563" spans="1:26" ht="18.600000000000001" hidden="1" x14ac:dyDescent="0.25">
      <c r="A563" s="321" t="s">
        <v>184</v>
      </c>
      <c r="B563" s="321" t="s">
        <v>117</v>
      </c>
      <c r="C563" s="318" t="s">
        <v>79</v>
      </c>
      <c r="D563">
        <v>20140</v>
      </c>
      <c r="E563" s="143">
        <v>75000</v>
      </c>
      <c r="F563" s="117">
        <v>1404</v>
      </c>
      <c r="G563" s="321" t="s">
        <v>295</v>
      </c>
      <c r="H563" s="144">
        <f>bargiri[[#This Row],[میزان بارگیری شده]]*bargiri[[#This Row],[فی]]</f>
        <v>1510500000</v>
      </c>
      <c r="I563" s="321">
        <f>IF(year=bargiri[[#This Row],[سال]],1,0)</f>
        <v>1</v>
      </c>
      <c r="X563" s="1"/>
      <c r="Y563" s="1"/>
      <c r="Z563" s="1"/>
    </row>
    <row r="564" spans="1:26" ht="18.600000000000001" hidden="1" x14ac:dyDescent="0.25">
      <c r="A564" s="321" t="s">
        <v>184</v>
      </c>
      <c r="B564" s="321" t="s">
        <v>106</v>
      </c>
      <c r="C564" s="318" t="s">
        <v>45</v>
      </c>
      <c r="D564">
        <v>5420</v>
      </c>
      <c r="E564" s="143">
        <v>80000</v>
      </c>
      <c r="F564" s="117">
        <v>1404</v>
      </c>
      <c r="G564" s="321" t="s">
        <v>295</v>
      </c>
      <c r="H564" s="144">
        <f>bargiri[[#This Row],[میزان بارگیری شده]]*bargiri[[#This Row],[فی]]</f>
        <v>433600000</v>
      </c>
      <c r="I564" s="321">
        <f>IF(year=bargiri[[#This Row],[سال]],1,0)</f>
        <v>1</v>
      </c>
      <c r="X564" s="1"/>
      <c r="Y564" s="1"/>
      <c r="Z564" s="1"/>
    </row>
    <row r="565" spans="1:26" ht="18.600000000000001" hidden="1" x14ac:dyDescent="0.25">
      <c r="A565" s="321" t="s">
        <v>184</v>
      </c>
      <c r="B565" s="321" t="s">
        <v>106</v>
      </c>
      <c r="C565" s="318" t="s">
        <v>45</v>
      </c>
      <c r="D565">
        <v>5440</v>
      </c>
      <c r="E565" s="143">
        <v>80000</v>
      </c>
      <c r="F565" s="117">
        <v>1404</v>
      </c>
      <c r="G565" s="321" t="s">
        <v>295</v>
      </c>
      <c r="H565" s="144">
        <f>bargiri[[#This Row],[میزان بارگیری شده]]*bargiri[[#This Row],[فی]]</f>
        <v>435200000</v>
      </c>
      <c r="I565" s="321">
        <f>IF(year=bargiri[[#This Row],[سال]],1,0)</f>
        <v>1</v>
      </c>
      <c r="X565" s="1"/>
      <c r="Y565" s="1"/>
      <c r="Z565" s="1"/>
    </row>
    <row r="566" spans="1:26" ht="18.600000000000001" hidden="1" x14ac:dyDescent="0.25">
      <c r="A566" s="321" t="s">
        <v>184</v>
      </c>
      <c r="B566" s="321" t="s">
        <v>103</v>
      </c>
      <c r="C566" s="318" t="s">
        <v>29</v>
      </c>
      <c r="D566">
        <v>7390</v>
      </c>
      <c r="E566" s="143">
        <v>75000</v>
      </c>
      <c r="F566" s="117">
        <v>1404</v>
      </c>
      <c r="G566" s="321" t="s">
        <v>295</v>
      </c>
      <c r="H566" s="144">
        <f>bargiri[[#This Row],[میزان بارگیری شده]]*bargiri[[#This Row],[فی]]</f>
        <v>554250000</v>
      </c>
      <c r="I566" s="321">
        <f>IF(year=bargiri[[#This Row],[سال]],1,0)</f>
        <v>1</v>
      </c>
      <c r="X566" s="1"/>
      <c r="Y566" s="1"/>
      <c r="Z566" s="1"/>
    </row>
    <row r="567" spans="1:26" ht="18.600000000000001" hidden="1" x14ac:dyDescent="0.25">
      <c r="A567" s="321" t="s">
        <v>184</v>
      </c>
      <c r="B567" s="321" t="s">
        <v>106</v>
      </c>
      <c r="C567" s="318" t="s">
        <v>45</v>
      </c>
      <c r="D567">
        <v>5305</v>
      </c>
      <c r="E567" s="143">
        <v>80000</v>
      </c>
      <c r="F567" s="117">
        <v>1404</v>
      </c>
      <c r="G567" s="321" t="s">
        <v>295</v>
      </c>
      <c r="H567" s="144">
        <f>bargiri[[#This Row],[میزان بارگیری شده]]*bargiri[[#This Row],[فی]]</f>
        <v>424400000</v>
      </c>
      <c r="I567" s="321">
        <f>IF(year=bargiri[[#This Row],[سال]],1,0)</f>
        <v>1</v>
      </c>
      <c r="X567" s="1"/>
      <c r="Y567" s="1"/>
      <c r="Z567" s="1"/>
    </row>
    <row r="568" spans="1:26" ht="18.600000000000001" hidden="1" x14ac:dyDescent="0.25">
      <c r="A568" s="321" t="s">
        <v>184</v>
      </c>
      <c r="B568" s="321" t="s">
        <v>106</v>
      </c>
      <c r="C568" s="318" t="s">
        <v>45</v>
      </c>
      <c r="D568">
        <v>5465</v>
      </c>
      <c r="E568" s="143">
        <v>80000</v>
      </c>
      <c r="F568" s="117">
        <v>1404</v>
      </c>
      <c r="G568" s="321" t="s">
        <v>295</v>
      </c>
      <c r="H568" s="144">
        <f>bargiri[[#This Row],[میزان بارگیری شده]]*bargiri[[#This Row],[فی]]</f>
        <v>437200000</v>
      </c>
      <c r="I568" s="321">
        <f>IF(year=bargiri[[#This Row],[سال]],1,0)</f>
        <v>1</v>
      </c>
      <c r="X568" s="1"/>
      <c r="Y568" s="1"/>
      <c r="Z568" s="1"/>
    </row>
    <row r="569" spans="1:26" ht="18.600000000000001" hidden="1" x14ac:dyDescent="0.25">
      <c r="A569" s="321" t="s">
        <v>184</v>
      </c>
      <c r="B569" s="321" t="s">
        <v>113</v>
      </c>
      <c r="C569" s="318" t="s">
        <v>61</v>
      </c>
      <c r="D569">
        <v>15575</v>
      </c>
      <c r="E569" s="143">
        <v>75000</v>
      </c>
      <c r="F569" s="117">
        <v>1404</v>
      </c>
      <c r="G569" s="321" t="s">
        <v>295</v>
      </c>
      <c r="H569" s="144">
        <f>bargiri[[#This Row],[میزان بارگیری شده]]*bargiri[[#This Row],[فی]]</f>
        <v>1168125000</v>
      </c>
      <c r="I569" s="321">
        <f>IF(year=bargiri[[#This Row],[سال]],1,0)</f>
        <v>1</v>
      </c>
      <c r="X569" s="1"/>
      <c r="Y569" s="1"/>
      <c r="Z569" s="1"/>
    </row>
    <row r="570" spans="1:26" ht="18.600000000000001" hidden="1" x14ac:dyDescent="0.25">
      <c r="A570" s="321" t="s">
        <v>184</v>
      </c>
      <c r="B570" s="321" t="s">
        <v>106</v>
      </c>
      <c r="C570" s="318" t="s">
        <v>45</v>
      </c>
      <c r="D570">
        <v>5325</v>
      </c>
      <c r="E570" s="143">
        <v>80000</v>
      </c>
      <c r="F570" s="117">
        <v>1404</v>
      </c>
      <c r="G570" s="321" t="s">
        <v>295</v>
      </c>
      <c r="H570" s="144">
        <f>bargiri[[#This Row],[میزان بارگیری شده]]*bargiri[[#This Row],[فی]]</f>
        <v>426000000</v>
      </c>
      <c r="I570" s="321">
        <f>IF(year=bargiri[[#This Row],[سال]],1,0)</f>
        <v>1</v>
      </c>
      <c r="X570" s="1"/>
      <c r="Y570" s="1"/>
      <c r="Z570" s="1"/>
    </row>
    <row r="571" spans="1:26" ht="18.600000000000001" hidden="1" x14ac:dyDescent="0.25">
      <c r="A571" s="321" t="s">
        <v>184</v>
      </c>
      <c r="B571" s="321" t="s">
        <v>107</v>
      </c>
      <c r="C571" s="318" t="s">
        <v>50</v>
      </c>
      <c r="D571">
        <v>19000</v>
      </c>
      <c r="E571" s="143">
        <v>70000</v>
      </c>
      <c r="F571" s="117">
        <v>1404</v>
      </c>
      <c r="G571" s="321" t="s">
        <v>295</v>
      </c>
      <c r="H571" s="144">
        <f>bargiri[[#This Row],[میزان بارگیری شده]]*bargiri[[#This Row],[فی]]</f>
        <v>1330000000</v>
      </c>
      <c r="I571" s="321">
        <f>IF(year=bargiri[[#This Row],[سال]],1,0)</f>
        <v>1</v>
      </c>
      <c r="X571" s="1"/>
      <c r="Y571" s="1"/>
      <c r="Z571" s="1"/>
    </row>
    <row r="572" spans="1:26" ht="18.600000000000001" hidden="1" x14ac:dyDescent="0.25">
      <c r="A572" s="321" t="s">
        <v>184</v>
      </c>
      <c r="B572" s="321" t="s">
        <v>106</v>
      </c>
      <c r="C572" s="318" t="s">
        <v>45</v>
      </c>
      <c r="D572">
        <v>5380</v>
      </c>
      <c r="E572" s="143">
        <v>80000</v>
      </c>
      <c r="F572" s="117">
        <v>1404</v>
      </c>
      <c r="G572" s="321" t="s">
        <v>295</v>
      </c>
      <c r="H572" s="144">
        <f>bargiri[[#This Row],[میزان بارگیری شده]]*bargiri[[#This Row],[فی]]</f>
        <v>430400000</v>
      </c>
      <c r="I572" s="321">
        <f>IF(year=bargiri[[#This Row],[سال]],1,0)</f>
        <v>1</v>
      </c>
      <c r="X572" s="1"/>
      <c r="Y572" s="1"/>
      <c r="Z572" s="1"/>
    </row>
    <row r="573" spans="1:26" ht="18.600000000000001" hidden="1" x14ac:dyDescent="0.25">
      <c r="A573" s="321" t="s">
        <v>184</v>
      </c>
      <c r="B573" s="321" t="s">
        <v>106</v>
      </c>
      <c r="C573" s="318" t="s">
        <v>45</v>
      </c>
      <c r="D573">
        <v>5290</v>
      </c>
      <c r="E573" s="143">
        <v>80000</v>
      </c>
      <c r="F573" s="117">
        <v>1404</v>
      </c>
      <c r="G573" s="321" t="s">
        <v>295</v>
      </c>
      <c r="H573" s="144">
        <f>bargiri[[#This Row],[میزان بارگیری شده]]*bargiri[[#This Row],[فی]]</f>
        <v>423200000</v>
      </c>
      <c r="I573" s="321">
        <f>IF(year=bargiri[[#This Row],[سال]],1,0)</f>
        <v>1</v>
      </c>
      <c r="X573" s="1"/>
      <c r="Y573" s="1"/>
      <c r="Z573" s="1"/>
    </row>
    <row r="574" spans="1:26" ht="18.600000000000001" hidden="1" x14ac:dyDescent="0.25">
      <c r="A574" s="321" t="s">
        <v>184</v>
      </c>
      <c r="B574" s="321" t="s">
        <v>113</v>
      </c>
      <c r="C574" s="318" t="s">
        <v>61</v>
      </c>
      <c r="D574">
        <v>18945</v>
      </c>
      <c r="E574" s="143">
        <v>75000</v>
      </c>
      <c r="F574" s="117">
        <v>1404</v>
      </c>
      <c r="G574" s="321" t="s">
        <v>295</v>
      </c>
      <c r="H574" s="144">
        <f>bargiri[[#This Row],[میزان بارگیری شده]]*bargiri[[#This Row],[فی]]</f>
        <v>1420875000</v>
      </c>
      <c r="I574" s="321">
        <f>IF(year=bargiri[[#This Row],[سال]],1,0)</f>
        <v>1</v>
      </c>
      <c r="X574" s="1"/>
      <c r="Y574" s="1"/>
      <c r="Z574" s="1"/>
    </row>
    <row r="575" spans="1:26" ht="18.600000000000001" hidden="1" x14ac:dyDescent="0.25">
      <c r="A575" s="321" t="s">
        <v>184</v>
      </c>
      <c r="B575" s="321" t="s">
        <v>101</v>
      </c>
      <c r="C575" s="318" t="s">
        <v>19</v>
      </c>
      <c r="D575">
        <v>22080</v>
      </c>
      <c r="E575" s="143">
        <v>75000</v>
      </c>
      <c r="F575" s="117">
        <v>1404</v>
      </c>
      <c r="G575" s="321" t="s">
        <v>295</v>
      </c>
      <c r="H575" s="144">
        <f>bargiri[[#This Row],[میزان بارگیری شده]]*bargiri[[#This Row],[فی]]</f>
        <v>1656000000</v>
      </c>
      <c r="I575" s="321">
        <f>IF(year=bargiri[[#This Row],[سال]],1,0)</f>
        <v>1</v>
      </c>
      <c r="X575" s="1"/>
      <c r="Y575" s="1"/>
      <c r="Z575" s="1"/>
    </row>
    <row r="576" spans="1:26" ht="18.600000000000001" hidden="1" x14ac:dyDescent="0.25">
      <c r="A576" s="321" t="s">
        <v>184</v>
      </c>
      <c r="B576" s="321" t="s">
        <v>103</v>
      </c>
      <c r="C576" s="318" t="s">
        <v>29</v>
      </c>
      <c r="D576">
        <v>7250</v>
      </c>
      <c r="E576" s="143">
        <v>75000</v>
      </c>
      <c r="F576" s="117">
        <v>1404</v>
      </c>
      <c r="G576" s="321" t="s">
        <v>295</v>
      </c>
      <c r="H576" s="144">
        <f>bargiri[[#This Row],[میزان بارگیری شده]]*bargiri[[#This Row],[فی]]</f>
        <v>543750000</v>
      </c>
      <c r="I576" s="321">
        <f>IF(year=bargiri[[#This Row],[سال]],1,0)</f>
        <v>1</v>
      </c>
      <c r="X576" s="1"/>
      <c r="Y576" s="1"/>
      <c r="Z576" s="1"/>
    </row>
    <row r="577" spans="1:26" ht="18.600000000000001" hidden="1" x14ac:dyDescent="0.25">
      <c r="A577" s="321" t="s">
        <v>184</v>
      </c>
      <c r="B577" s="321" t="s">
        <v>107</v>
      </c>
      <c r="C577" s="318" t="s">
        <v>50</v>
      </c>
      <c r="D577">
        <v>19045</v>
      </c>
      <c r="E577" s="143">
        <v>70000</v>
      </c>
      <c r="F577" s="117">
        <v>1404</v>
      </c>
      <c r="G577" s="321" t="s">
        <v>295</v>
      </c>
      <c r="H577" s="144">
        <f>bargiri[[#This Row],[میزان بارگیری شده]]*bargiri[[#This Row],[فی]]</f>
        <v>1333150000</v>
      </c>
      <c r="I577" s="321">
        <f>IF(year=bargiri[[#This Row],[سال]],1,0)</f>
        <v>1</v>
      </c>
      <c r="X577" s="1"/>
      <c r="Y577" s="1"/>
      <c r="Z577" s="1"/>
    </row>
    <row r="578" spans="1:26" ht="18.600000000000001" x14ac:dyDescent="0.25">
      <c r="A578" s="321" t="s">
        <v>184</v>
      </c>
      <c r="B578" s="321" t="s">
        <v>118</v>
      </c>
      <c r="C578" s="318" t="s">
        <v>84</v>
      </c>
      <c r="D578">
        <v>20925</v>
      </c>
      <c r="E578" s="143">
        <v>57273</v>
      </c>
      <c r="F578" s="117">
        <v>1404</v>
      </c>
      <c r="G578" s="321" t="s">
        <v>295</v>
      </c>
      <c r="H578" s="144">
        <f>bargiri[[#This Row],[میزان بارگیری شده]]*bargiri[[#This Row],[فی]]</f>
        <v>1198437525</v>
      </c>
      <c r="I578" s="321">
        <f>IF(year=bargiri[[#This Row],[سال]],1,0)</f>
        <v>1</v>
      </c>
      <c r="X578" s="1"/>
      <c r="Y578" s="1"/>
      <c r="Z578" s="1"/>
    </row>
    <row r="579" spans="1:26" ht="18.600000000000001" x14ac:dyDescent="0.25">
      <c r="A579" s="321" t="s">
        <v>184</v>
      </c>
      <c r="B579" s="321" t="s">
        <v>118</v>
      </c>
      <c r="C579" s="318" t="s">
        <v>84</v>
      </c>
      <c r="D579">
        <v>21020</v>
      </c>
      <c r="E579" s="143">
        <v>57273</v>
      </c>
      <c r="F579" s="117">
        <v>1404</v>
      </c>
      <c r="G579" s="321" t="s">
        <v>295</v>
      </c>
      <c r="H579" s="144">
        <f>bargiri[[#This Row],[میزان بارگیری شده]]*bargiri[[#This Row],[فی]]</f>
        <v>1203878460</v>
      </c>
      <c r="I579" s="321">
        <f>IF(year=bargiri[[#This Row],[سال]],1,0)</f>
        <v>1</v>
      </c>
      <c r="X579" s="1"/>
      <c r="Y579" s="1"/>
      <c r="Z579" s="1"/>
    </row>
    <row r="580" spans="1:26" ht="18.600000000000001" hidden="1" x14ac:dyDescent="0.25">
      <c r="A580" s="321" t="s">
        <v>184</v>
      </c>
      <c r="B580" s="321" t="s">
        <v>107</v>
      </c>
      <c r="C580" s="318" t="s">
        <v>50</v>
      </c>
      <c r="D580">
        <v>18700</v>
      </c>
      <c r="E580" s="143">
        <v>70000</v>
      </c>
      <c r="F580" s="117">
        <v>1404</v>
      </c>
      <c r="G580" s="321" t="s">
        <v>295</v>
      </c>
      <c r="H580" s="144">
        <f>bargiri[[#This Row],[میزان بارگیری شده]]*bargiri[[#This Row],[فی]]</f>
        <v>1309000000</v>
      </c>
      <c r="I580" s="321">
        <f>IF(year=bargiri[[#This Row],[سال]],1,0)</f>
        <v>1</v>
      </c>
      <c r="X580" s="1"/>
      <c r="Y580" s="1"/>
      <c r="Z580" s="1"/>
    </row>
    <row r="581" spans="1:26" ht="18.600000000000001" hidden="1" x14ac:dyDescent="0.25">
      <c r="A581" s="321" t="s">
        <v>342</v>
      </c>
      <c r="B581" s="321" t="s">
        <v>102</v>
      </c>
      <c r="C581" s="318" t="s">
        <v>24</v>
      </c>
      <c r="D581">
        <v>9805</v>
      </c>
      <c r="E581" s="143">
        <v>70000</v>
      </c>
      <c r="F581" s="117">
        <v>1403</v>
      </c>
      <c r="G581" s="321" t="s">
        <v>296</v>
      </c>
      <c r="H581" s="144">
        <f>bargiri[[#This Row],[میزان بارگیری شده]]*bargiri[[#This Row],[فی]]</f>
        <v>686350000</v>
      </c>
      <c r="I581" s="321">
        <f>IF(year=bargiri[[#This Row],[سال]],1,0)</f>
        <v>0</v>
      </c>
      <c r="X581" s="1"/>
      <c r="Y581" s="1"/>
      <c r="Z581" s="1"/>
    </row>
    <row r="582" spans="1:26" ht="18.600000000000001" hidden="1" x14ac:dyDescent="0.25">
      <c r="A582" s="321" t="s">
        <v>342</v>
      </c>
      <c r="B582" s="321" t="s">
        <v>107</v>
      </c>
      <c r="C582" s="318" t="s">
        <v>50</v>
      </c>
      <c r="D582">
        <v>19030</v>
      </c>
      <c r="E582" s="143">
        <v>70000</v>
      </c>
      <c r="F582" s="117">
        <v>1403</v>
      </c>
      <c r="G582" s="321" t="s">
        <v>296</v>
      </c>
      <c r="H582" s="144">
        <f>bargiri[[#This Row],[میزان بارگیری شده]]*bargiri[[#This Row],[فی]]</f>
        <v>1332100000</v>
      </c>
      <c r="I582" s="321">
        <f>IF(year=bargiri[[#This Row],[سال]],1,0)</f>
        <v>0</v>
      </c>
      <c r="X582" s="1"/>
      <c r="Y582" s="1"/>
      <c r="Z582" s="1"/>
    </row>
    <row r="583" spans="1:26" ht="18.600000000000001" x14ac:dyDescent="0.25">
      <c r="A583" s="321" t="s">
        <v>342</v>
      </c>
      <c r="B583" s="321" t="s">
        <v>118</v>
      </c>
      <c r="C583" s="318" t="s">
        <v>84</v>
      </c>
      <c r="D583">
        <v>20410</v>
      </c>
      <c r="E583" s="143">
        <v>57273</v>
      </c>
      <c r="F583" s="117">
        <v>1403</v>
      </c>
      <c r="G583" s="321" t="s">
        <v>296</v>
      </c>
      <c r="H583" s="144">
        <f>bargiri[[#This Row],[میزان بارگیری شده]]*bargiri[[#This Row],[فی]]</f>
        <v>1168941930</v>
      </c>
      <c r="I583" s="321">
        <f>IF(year=bargiri[[#This Row],[سال]],1,0)</f>
        <v>0</v>
      </c>
      <c r="X583" s="1"/>
      <c r="Y583" s="1"/>
      <c r="Z583" s="1"/>
    </row>
    <row r="584" spans="1:26" ht="18.600000000000001" x14ac:dyDescent="0.25">
      <c r="A584" s="321" t="s">
        <v>342</v>
      </c>
      <c r="B584" s="321" t="s">
        <v>118</v>
      </c>
      <c r="C584" s="318" t="s">
        <v>84</v>
      </c>
      <c r="D584">
        <v>20505</v>
      </c>
      <c r="E584" s="143">
        <v>57273</v>
      </c>
      <c r="F584" s="117">
        <v>1403</v>
      </c>
      <c r="G584" s="321" t="s">
        <v>296</v>
      </c>
      <c r="H584" s="144">
        <f>bargiri[[#This Row],[میزان بارگیری شده]]*bargiri[[#This Row],[فی]]</f>
        <v>1174382865</v>
      </c>
      <c r="I584" s="321">
        <f>IF(year=bargiri[[#This Row],[سال]],1,0)</f>
        <v>0</v>
      </c>
      <c r="X584" s="1"/>
      <c r="Y584" s="1"/>
      <c r="Z584" s="1"/>
    </row>
    <row r="585" spans="1:26" ht="18.600000000000001" hidden="1" x14ac:dyDescent="0.25">
      <c r="A585" s="321" t="s">
        <v>343</v>
      </c>
      <c r="B585" s="321" t="s">
        <v>107</v>
      </c>
      <c r="C585" s="318" t="s">
        <v>50</v>
      </c>
      <c r="D585">
        <v>19115</v>
      </c>
      <c r="E585" s="143">
        <v>70000</v>
      </c>
      <c r="F585" s="117">
        <v>1403</v>
      </c>
      <c r="G585" s="321" t="s">
        <v>296</v>
      </c>
      <c r="H585" s="144">
        <f>bargiri[[#This Row],[میزان بارگیری شده]]*bargiri[[#This Row],[فی]]</f>
        <v>1338050000</v>
      </c>
      <c r="I585" s="321">
        <f>IF(year=bargiri[[#This Row],[سال]],1,0)</f>
        <v>0</v>
      </c>
      <c r="X585" s="1"/>
      <c r="Y585" s="1"/>
      <c r="Z585" s="1"/>
    </row>
    <row r="586" spans="1:26" ht="18.600000000000001" hidden="1" x14ac:dyDescent="0.25">
      <c r="A586" s="321" t="s">
        <v>343</v>
      </c>
      <c r="B586" s="321" t="s">
        <v>113</v>
      </c>
      <c r="C586" s="318" t="s">
        <v>61</v>
      </c>
      <c r="D586">
        <v>18925</v>
      </c>
      <c r="E586" s="143">
        <v>75000</v>
      </c>
      <c r="F586" s="117">
        <v>1403</v>
      </c>
      <c r="G586" s="321" t="s">
        <v>296</v>
      </c>
      <c r="H586" s="144">
        <f>bargiri[[#This Row],[میزان بارگیری شده]]*bargiri[[#This Row],[فی]]</f>
        <v>1419375000</v>
      </c>
      <c r="I586" s="321">
        <f>IF(year=bargiri[[#This Row],[سال]],1,0)</f>
        <v>0</v>
      </c>
      <c r="X586" s="1"/>
      <c r="Y586" s="1"/>
      <c r="Z586" s="1"/>
    </row>
    <row r="587" spans="1:26" ht="18.600000000000001" hidden="1" x14ac:dyDescent="0.25">
      <c r="A587" s="321" t="s">
        <v>169</v>
      </c>
      <c r="B587" s="321" t="s">
        <v>102</v>
      </c>
      <c r="C587" s="318" t="s">
        <v>24</v>
      </c>
      <c r="D587">
        <v>11490</v>
      </c>
      <c r="E587" s="143">
        <v>70000</v>
      </c>
      <c r="F587" s="117">
        <v>1403</v>
      </c>
      <c r="G587" s="321" t="s">
        <v>296</v>
      </c>
      <c r="H587" s="144">
        <f>bargiri[[#This Row],[میزان بارگیری شده]]*bargiri[[#This Row],[فی]]</f>
        <v>804300000</v>
      </c>
      <c r="I587" s="321">
        <f>IF(year=bargiri[[#This Row],[سال]],1,0)</f>
        <v>0</v>
      </c>
      <c r="X587" s="1"/>
      <c r="Y587" s="1"/>
      <c r="Z587" s="1"/>
    </row>
    <row r="588" spans="1:26" ht="18.600000000000001" hidden="1" x14ac:dyDescent="0.25">
      <c r="A588" s="321" t="s">
        <v>343</v>
      </c>
      <c r="B588" s="321" t="s">
        <v>113</v>
      </c>
      <c r="C588" s="318" t="s">
        <v>61</v>
      </c>
      <c r="D588">
        <v>19430</v>
      </c>
      <c r="E588" s="143">
        <v>75000</v>
      </c>
      <c r="F588" s="117">
        <v>1403</v>
      </c>
      <c r="G588" s="321" t="s">
        <v>296</v>
      </c>
      <c r="H588" s="144">
        <f>bargiri[[#This Row],[میزان بارگیری شده]]*bargiri[[#This Row],[فی]]</f>
        <v>1457250000</v>
      </c>
      <c r="I588" s="321">
        <f>IF(year=bargiri[[#This Row],[سال]],1,0)</f>
        <v>0</v>
      </c>
      <c r="X588" s="1"/>
      <c r="Y588" s="1"/>
      <c r="Z588" s="1"/>
    </row>
    <row r="589" spans="1:26" ht="18.600000000000001" hidden="1" x14ac:dyDescent="0.25">
      <c r="A589" s="321" t="s">
        <v>169</v>
      </c>
      <c r="B589" s="321" t="s">
        <v>98</v>
      </c>
      <c r="C589" s="318" t="s">
        <v>7</v>
      </c>
      <c r="D589">
        <v>8625</v>
      </c>
      <c r="E589" s="143">
        <v>92180</v>
      </c>
      <c r="F589" s="117">
        <v>1403</v>
      </c>
      <c r="G589" s="321" t="s">
        <v>296</v>
      </c>
      <c r="H589" s="144">
        <f>bargiri[[#This Row],[میزان بارگیری شده]]*bargiri[[#This Row],[فی]]</f>
        <v>795052500</v>
      </c>
      <c r="I589" s="321">
        <f>IF(year=bargiri[[#This Row],[سال]],1,0)</f>
        <v>0</v>
      </c>
      <c r="X589" s="1"/>
      <c r="Y589" s="1"/>
      <c r="Z589" s="1"/>
    </row>
    <row r="590" spans="1:26" ht="18.600000000000001" hidden="1" x14ac:dyDescent="0.25">
      <c r="A590" s="321" t="s">
        <v>169</v>
      </c>
      <c r="B590" s="321" t="s">
        <v>98</v>
      </c>
      <c r="C590" s="318" t="s">
        <v>4</v>
      </c>
      <c r="D590">
        <v>11410</v>
      </c>
      <c r="E590" s="143">
        <v>65000</v>
      </c>
      <c r="F590" s="117">
        <v>1403</v>
      </c>
      <c r="G590" s="321" t="s">
        <v>296</v>
      </c>
      <c r="H590" s="144">
        <f>bargiri[[#This Row],[میزان بارگیری شده]]*bargiri[[#This Row],[فی]]</f>
        <v>741650000</v>
      </c>
      <c r="I590" s="321">
        <f>IF(year=bargiri[[#This Row],[سال]],1,0)</f>
        <v>0</v>
      </c>
      <c r="X590" s="1"/>
      <c r="Y590" s="1"/>
      <c r="Z590" s="1"/>
    </row>
    <row r="591" spans="1:26" ht="18.600000000000001" hidden="1" x14ac:dyDescent="0.25">
      <c r="A591" s="321" t="s">
        <v>169</v>
      </c>
      <c r="B591" s="321" t="s">
        <v>117</v>
      </c>
      <c r="C591" s="318" t="s">
        <v>79</v>
      </c>
      <c r="D591">
        <v>19910</v>
      </c>
      <c r="E591" s="143">
        <v>75000</v>
      </c>
      <c r="F591" s="117">
        <v>1403</v>
      </c>
      <c r="G591" s="321" t="s">
        <v>296</v>
      </c>
      <c r="H591" s="144">
        <f>bargiri[[#This Row],[میزان بارگیری شده]]*bargiri[[#This Row],[فی]]</f>
        <v>1493250000</v>
      </c>
      <c r="I591" s="321">
        <f>IF(year=bargiri[[#This Row],[سال]],1,0)</f>
        <v>0</v>
      </c>
      <c r="X591" s="1"/>
      <c r="Y591" s="1"/>
      <c r="Z591" s="1"/>
    </row>
    <row r="592" spans="1:26" ht="18.600000000000001" x14ac:dyDescent="0.25">
      <c r="A592" s="321" t="s">
        <v>169</v>
      </c>
      <c r="B592" s="321" t="s">
        <v>118</v>
      </c>
      <c r="C592" s="318" t="s">
        <v>84</v>
      </c>
      <c r="D592">
        <v>20855</v>
      </c>
      <c r="E592" s="143">
        <v>57273</v>
      </c>
      <c r="F592" s="117">
        <v>1403</v>
      </c>
      <c r="G592" s="321" t="s">
        <v>296</v>
      </c>
      <c r="H592" s="144">
        <f>bargiri[[#This Row],[میزان بارگیری شده]]*bargiri[[#This Row],[فی]]</f>
        <v>1194428415</v>
      </c>
      <c r="I592" s="321">
        <f>IF(year=bargiri[[#This Row],[سال]],1,0)</f>
        <v>0</v>
      </c>
      <c r="X592" s="1"/>
      <c r="Y592" s="1"/>
      <c r="Z592" s="1"/>
    </row>
    <row r="593" spans="1:26" ht="18.600000000000001" x14ac:dyDescent="0.25">
      <c r="A593" s="321" t="s">
        <v>169</v>
      </c>
      <c r="B593" s="321" t="s">
        <v>118</v>
      </c>
      <c r="C593" s="318" t="s">
        <v>84</v>
      </c>
      <c r="D593">
        <v>20975</v>
      </c>
      <c r="E593" s="143">
        <v>57273</v>
      </c>
      <c r="F593" s="117">
        <v>1403</v>
      </c>
      <c r="G593" s="321" t="s">
        <v>296</v>
      </c>
      <c r="H593" s="144">
        <f>bargiri[[#This Row],[میزان بارگیری شده]]*bargiri[[#This Row],[فی]]</f>
        <v>1201301175</v>
      </c>
      <c r="I593" s="321">
        <f>IF(year=bargiri[[#This Row],[سال]],1,0)</f>
        <v>0</v>
      </c>
      <c r="X593" s="1"/>
      <c r="Y593" s="1"/>
      <c r="Z593" s="1"/>
    </row>
    <row r="594" spans="1:26" ht="18.600000000000001" x14ac:dyDescent="0.25">
      <c r="A594" s="321" t="s">
        <v>169</v>
      </c>
      <c r="B594" s="321" t="s">
        <v>118</v>
      </c>
      <c r="C594" s="318" t="s">
        <v>84</v>
      </c>
      <c r="D594">
        <v>21160</v>
      </c>
      <c r="E594" s="143">
        <v>57273</v>
      </c>
      <c r="F594" s="117">
        <v>1403</v>
      </c>
      <c r="G594" s="321" t="s">
        <v>296</v>
      </c>
      <c r="H594" s="144">
        <f>bargiri[[#This Row],[میزان بارگیری شده]]*bargiri[[#This Row],[فی]]</f>
        <v>1211896680</v>
      </c>
      <c r="I594" s="321">
        <f>IF(year=bargiri[[#This Row],[سال]],1,0)</f>
        <v>0</v>
      </c>
      <c r="X594" s="1"/>
      <c r="Y594" s="1"/>
      <c r="Z594" s="1"/>
    </row>
    <row r="595" spans="1:26" ht="18.600000000000001" x14ac:dyDescent="0.25">
      <c r="A595" s="321" t="s">
        <v>169</v>
      </c>
      <c r="B595" s="321" t="s">
        <v>118</v>
      </c>
      <c r="C595" s="318" t="s">
        <v>84</v>
      </c>
      <c r="D595">
        <v>20980</v>
      </c>
      <c r="E595" s="143">
        <v>57273</v>
      </c>
      <c r="F595" s="117">
        <v>1403</v>
      </c>
      <c r="G595" s="321" t="s">
        <v>296</v>
      </c>
      <c r="H595" s="144">
        <f>bargiri[[#This Row],[میزان بارگیری شده]]*bargiri[[#This Row],[فی]]</f>
        <v>1201587540</v>
      </c>
      <c r="I595" s="321">
        <f>IF(year=bargiri[[#This Row],[سال]],1,0)</f>
        <v>0</v>
      </c>
      <c r="X595" s="1"/>
      <c r="Y595" s="1"/>
      <c r="Z595" s="1"/>
    </row>
    <row r="596" spans="1:26" ht="18.600000000000001" hidden="1" x14ac:dyDescent="0.25">
      <c r="A596" s="321" t="s">
        <v>131</v>
      </c>
      <c r="B596" s="321" t="s">
        <v>116</v>
      </c>
      <c r="C596" s="318" t="s">
        <v>77</v>
      </c>
      <c r="D596">
        <v>19100</v>
      </c>
      <c r="E596" s="143">
        <v>68500</v>
      </c>
      <c r="F596" s="117">
        <v>1403</v>
      </c>
      <c r="G596" s="321" t="s">
        <v>296</v>
      </c>
      <c r="H596" s="144">
        <f>bargiri[[#This Row],[میزان بارگیری شده]]*bargiri[[#This Row],[فی]]</f>
        <v>1308350000</v>
      </c>
      <c r="I596" s="321">
        <f>IF(year=bargiri[[#This Row],[سال]],1,0)</f>
        <v>0</v>
      </c>
      <c r="X596" s="1"/>
      <c r="Y596" s="1"/>
      <c r="Z596" s="1"/>
    </row>
    <row r="597" spans="1:26" ht="18.600000000000001" x14ac:dyDescent="0.25">
      <c r="A597" s="321" t="s">
        <v>131</v>
      </c>
      <c r="B597" s="321" t="s">
        <v>118</v>
      </c>
      <c r="C597" s="318" t="s">
        <v>84</v>
      </c>
      <c r="D597">
        <v>21095</v>
      </c>
      <c r="E597" s="143">
        <v>57273</v>
      </c>
      <c r="F597" s="117">
        <v>1403</v>
      </c>
      <c r="G597" s="321" t="s">
        <v>296</v>
      </c>
      <c r="H597" s="144">
        <f>bargiri[[#This Row],[میزان بارگیری شده]]*bargiri[[#This Row],[فی]]</f>
        <v>1208173935</v>
      </c>
      <c r="I597" s="321">
        <f>IF(year=bargiri[[#This Row],[سال]],1,0)</f>
        <v>0</v>
      </c>
      <c r="X597" s="1"/>
      <c r="Y597" s="1"/>
      <c r="Z597" s="1"/>
    </row>
    <row r="598" spans="1:26" ht="18.600000000000001" x14ac:dyDescent="0.25">
      <c r="A598" s="321" t="s">
        <v>131</v>
      </c>
      <c r="B598" s="321" t="s">
        <v>118</v>
      </c>
      <c r="C598" s="318" t="s">
        <v>84</v>
      </c>
      <c r="D598">
        <v>20545</v>
      </c>
      <c r="E598" s="143">
        <v>57273</v>
      </c>
      <c r="F598" s="117">
        <v>1403</v>
      </c>
      <c r="G598" s="321" t="s">
        <v>296</v>
      </c>
      <c r="H598" s="144">
        <f>bargiri[[#This Row],[میزان بارگیری شده]]*bargiri[[#This Row],[فی]]</f>
        <v>1176673785</v>
      </c>
      <c r="I598" s="321">
        <f>IF(year=bargiri[[#This Row],[سال]],1,0)</f>
        <v>0</v>
      </c>
      <c r="X598" s="1"/>
      <c r="Y598" s="1"/>
      <c r="Z598" s="1"/>
    </row>
    <row r="599" spans="1:26" ht="18.600000000000001" x14ac:dyDescent="0.25">
      <c r="A599" s="321" t="s">
        <v>131</v>
      </c>
      <c r="B599" s="321" t="s">
        <v>118</v>
      </c>
      <c r="C599" s="318" t="s">
        <v>84</v>
      </c>
      <c r="D599">
        <v>20390</v>
      </c>
      <c r="E599" s="143">
        <v>57273</v>
      </c>
      <c r="F599" s="117">
        <v>1403</v>
      </c>
      <c r="G599" s="321" t="s">
        <v>296</v>
      </c>
      <c r="H599" s="144">
        <f>bargiri[[#This Row],[میزان بارگیری شده]]*bargiri[[#This Row],[فی]]</f>
        <v>1167796470</v>
      </c>
      <c r="I599" s="321">
        <f>IF(year=bargiri[[#This Row],[سال]],1,0)</f>
        <v>0</v>
      </c>
      <c r="X599" s="1"/>
      <c r="Y599" s="1"/>
      <c r="Z599" s="1"/>
    </row>
    <row r="600" spans="1:26" ht="18.600000000000001" x14ac:dyDescent="0.25">
      <c r="A600" s="321" t="s">
        <v>131</v>
      </c>
      <c r="B600" s="321" t="s">
        <v>118</v>
      </c>
      <c r="C600" s="318" t="s">
        <v>84</v>
      </c>
      <c r="D600">
        <v>20830</v>
      </c>
      <c r="E600" s="143">
        <v>57273</v>
      </c>
      <c r="F600" s="117">
        <v>1403</v>
      </c>
      <c r="G600" s="321" t="s">
        <v>296</v>
      </c>
      <c r="H600" s="144">
        <f>bargiri[[#This Row],[میزان بارگیری شده]]*bargiri[[#This Row],[فی]]</f>
        <v>1192996590</v>
      </c>
      <c r="I600" s="321">
        <f>IF(year=bargiri[[#This Row],[سال]],1,0)</f>
        <v>0</v>
      </c>
      <c r="X600" s="1"/>
      <c r="Y600" s="1"/>
      <c r="Z600" s="1"/>
    </row>
    <row r="601" spans="1:26" ht="18.600000000000001" hidden="1" x14ac:dyDescent="0.25">
      <c r="A601" s="321" t="s">
        <v>131</v>
      </c>
      <c r="B601" s="321" t="s">
        <v>123</v>
      </c>
      <c r="C601" s="318" t="s">
        <v>93</v>
      </c>
      <c r="D601">
        <v>7700</v>
      </c>
      <c r="E601" s="143">
        <v>75000</v>
      </c>
      <c r="F601" s="117">
        <v>1403</v>
      </c>
      <c r="G601" s="321" t="s">
        <v>296</v>
      </c>
      <c r="H601" s="144">
        <f>bargiri[[#This Row],[میزان بارگیری شده]]*bargiri[[#This Row],[فی]]</f>
        <v>577500000</v>
      </c>
      <c r="I601" s="321">
        <f>IF(year=bargiri[[#This Row],[سال]],1,0)</f>
        <v>0</v>
      </c>
      <c r="X601" s="1"/>
      <c r="Y601" s="1"/>
      <c r="Z601" s="1"/>
    </row>
    <row r="602" spans="1:26" ht="18.600000000000001" hidden="1" x14ac:dyDescent="0.25">
      <c r="A602" s="321" t="s">
        <v>131</v>
      </c>
      <c r="B602" s="321" t="s">
        <v>107</v>
      </c>
      <c r="C602" s="318" t="s">
        <v>50</v>
      </c>
      <c r="D602">
        <v>19105</v>
      </c>
      <c r="E602" s="143">
        <v>70000</v>
      </c>
      <c r="F602" s="117">
        <v>1403</v>
      </c>
      <c r="G602" s="321" t="s">
        <v>296</v>
      </c>
      <c r="H602" s="144">
        <f>bargiri[[#This Row],[میزان بارگیری شده]]*bargiri[[#This Row],[فی]]</f>
        <v>1337350000</v>
      </c>
      <c r="I602" s="321">
        <f>IF(year=bargiri[[#This Row],[سال]],1,0)</f>
        <v>0</v>
      </c>
      <c r="X602" s="1"/>
      <c r="Y602" s="1"/>
      <c r="Z602" s="1"/>
    </row>
    <row r="603" spans="1:26" ht="18.600000000000001" hidden="1" x14ac:dyDescent="0.25">
      <c r="A603" s="321" t="s">
        <v>344</v>
      </c>
      <c r="B603" s="321" t="s">
        <v>114</v>
      </c>
      <c r="C603" s="318" t="s">
        <v>63</v>
      </c>
      <c r="D603">
        <v>21045</v>
      </c>
      <c r="E603" s="143">
        <v>75000</v>
      </c>
      <c r="F603" s="117">
        <v>1403</v>
      </c>
      <c r="G603" s="321" t="s">
        <v>296</v>
      </c>
      <c r="H603" s="144">
        <f>bargiri[[#This Row],[میزان بارگیری شده]]*bargiri[[#This Row],[فی]]</f>
        <v>1578375000</v>
      </c>
      <c r="I603" s="321">
        <f>IF(year=bargiri[[#This Row],[سال]],1,0)</f>
        <v>0</v>
      </c>
      <c r="X603" s="1"/>
      <c r="Y603" s="1"/>
      <c r="Z603" s="1"/>
    </row>
    <row r="604" spans="1:26" ht="18.600000000000001" hidden="1" x14ac:dyDescent="0.25">
      <c r="A604" s="321" t="s">
        <v>344</v>
      </c>
      <c r="B604" s="321" t="s">
        <v>107</v>
      </c>
      <c r="C604" s="318" t="s">
        <v>50</v>
      </c>
      <c r="D604">
        <v>18895</v>
      </c>
      <c r="E604" s="143">
        <v>70000</v>
      </c>
      <c r="F604" s="117">
        <v>1403</v>
      </c>
      <c r="G604" s="321" t="s">
        <v>296</v>
      </c>
      <c r="H604" s="144">
        <f>bargiri[[#This Row],[میزان بارگیری شده]]*bargiri[[#This Row],[فی]]</f>
        <v>1322650000</v>
      </c>
      <c r="I604" s="321">
        <f>IF(year=bargiri[[#This Row],[سال]],1,0)</f>
        <v>0</v>
      </c>
      <c r="X604" s="1"/>
      <c r="Y604" s="1"/>
      <c r="Z604" s="1"/>
    </row>
    <row r="605" spans="1:26" ht="18.600000000000001" hidden="1" x14ac:dyDescent="0.25">
      <c r="A605" s="321" t="s">
        <v>212</v>
      </c>
      <c r="B605" s="321" t="s">
        <v>120</v>
      </c>
      <c r="C605" s="318" t="s">
        <v>88</v>
      </c>
      <c r="D605">
        <v>8930</v>
      </c>
      <c r="E605" s="143">
        <v>80000</v>
      </c>
      <c r="F605" s="117">
        <v>1403</v>
      </c>
      <c r="G605" s="321" t="s">
        <v>296</v>
      </c>
      <c r="H605" s="144">
        <f>bargiri[[#This Row],[میزان بارگیری شده]]*bargiri[[#This Row],[فی]]</f>
        <v>714400000</v>
      </c>
      <c r="I605" s="321">
        <f>IF(year=bargiri[[#This Row],[سال]],1,0)</f>
        <v>0</v>
      </c>
      <c r="X605" s="1"/>
      <c r="Y605" s="1"/>
      <c r="Z605" s="1"/>
    </row>
    <row r="606" spans="1:26" ht="18.600000000000001" hidden="1" x14ac:dyDescent="0.25">
      <c r="A606" s="321" t="s">
        <v>212</v>
      </c>
      <c r="B606" s="321" t="s">
        <v>103</v>
      </c>
      <c r="C606" s="318" t="s">
        <v>29</v>
      </c>
      <c r="D606">
        <v>7195</v>
      </c>
      <c r="E606" s="143">
        <v>75000</v>
      </c>
      <c r="F606" s="117">
        <v>1403</v>
      </c>
      <c r="G606" s="321" t="s">
        <v>296</v>
      </c>
      <c r="H606" s="144">
        <f>bargiri[[#This Row],[میزان بارگیری شده]]*bargiri[[#This Row],[فی]]</f>
        <v>539625000</v>
      </c>
      <c r="I606" s="321">
        <f>IF(year=bargiri[[#This Row],[سال]],1,0)</f>
        <v>0</v>
      </c>
      <c r="X606" s="1"/>
      <c r="Y606" s="1"/>
      <c r="Z606" s="1"/>
    </row>
    <row r="607" spans="1:26" ht="18.600000000000001" hidden="1" x14ac:dyDescent="0.25">
      <c r="A607" s="321" t="s">
        <v>212</v>
      </c>
      <c r="B607" s="321" t="s">
        <v>117</v>
      </c>
      <c r="C607" s="318" t="s">
        <v>79</v>
      </c>
      <c r="D607">
        <v>20090</v>
      </c>
      <c r="E607" s="143">
        <v>75000</v>
      </c>
      <c r="F607" s="117">
        <v>1403</v>
      </c>
      <c r="G607" s="321" t="s">
        <v>296</v>
      </c>
      <c r="H607" s="144">
        <f>bargiri[[#This Row],[میزان بارگیری شده]]*bargiri[[#This Row],[فی]]</f>
        <v>1506750000</v>
      </c>
      <c r="I607" s="321">
        <f>IF(year=bargiri[[#This Row],[سال]],1,0)</f>
        <v>0</v>
      </c>
      <c r="X607" s="1"/>
      <c r="Y607" s="1"/>
      <c r="Z607" s="1"/>
    </row>
    <row r="608" spans="1:26" ht="18.600000000000001" hidden="1" x14ac:dyDescent="0.25">
      <c r="A608" s="321" t="s">
        <v>212</v>
      </c>
      <c r="B608" s="321" t="s">
        <v>112</v>
      </c>
      <c r="C608" s="318" t="s">
        <v>60</v>
      </c>
      <c r="D608">
        <v>18375</v>
      </c>
      <c r="E608" s="143">
        <v>73000</v>
      </c>
      <c r="F608" s="117">
        <v>1403</v>
      </c>
      <c r="G608" s="321" t="s">
        <v>296</v>
      </c>
      <c r="H608" s="144">
        <f>bargiri[[#This Row],[میزان بارگیری شده]]*bargiri[[#This Row],[فی]]</f>
        <v>1341375000</v>
      </c>
      <c r="I608" s="321">
        <f>IF(year=bargiri[[#This Row],[سال]],1,0)</f>
        <v>0</v>
      </c>
      <c r="X608" s="1"/>
      <c r="Y608" s="1"/>
      <c r="Z608" s="1"/>
    </row>
    <row r="609" spans="1:26" ht="18.600000000000001" hidden="1" x14ac:dyDescent="0.25">
      <c r="A609" s="321" t="s">
        <v>345</v>
      </c>
      <c r="B609" s="321" t="s">
        <v>107</v>
      </c>
      <c r="C609" s="318" t="s">
        <v>50</v>
      </c>
      <c r="D609">
        <v>18980</v>
      </c>
      <c r="E609" s="143">
        <v>70000</v>
      </c>
      <c r="F609" s="117">
        <v>1403</v>
      </c>
      <c r="G609" s="321" t="s">
        <v>296</v>
      </c>
      <c r="H609" s="144">
        <f>bargiri[[#This Row],[میزان بارگیری شده]]*bargiri[[#This Row],[فی]]</f>
        <v>1328600000</v>
      </c>
      <c r="I609" s="321">
        <f>IF(year=bargiri[[#This Row],[سال]],1,0)</f>
        <v>0</v>
      </c>
      <c r="X609" s="1"/>
      <c r="Y609" s="1"/>
      <c r="Z609" s="1"/>
    </row>
    <row r="610" spans="1:26" ht="18.600000000000001" hidden="1" x14ac:dyDescent="0.25">
      <c r="A610" s="321" t="s">
        <v>345</v>
      </c>
      <c r="B610" s="321" t="s">
        <v>104</v>
      </c>
      <c r="C610" s="318" t="s">
        <v>39</v>
      </c>
      <c r="D610">
        <v>17970</v>
      </c>
      <c r="E610" s="143">
        <v>65000</v>
      </c>
      <c r="F610" s="117">
        <v>1403</v>
      </c>
      <c r="G610" s="321" t="s">
        <v>296</v>
      </c>
      <c r="H610" s="144">
        <f>bargiri[[#This Row],[میزان بارگیری شده]]*bargiri[[#This Row],[فی]]</f>
        <v>1168050000</v>
      </c>
      <c r="I610" s="321">
        <f>IF(year=bargiri[[#This Row],[سال]],1,0)</f>
        <v>0</v>
      </c>
      <c r="X610" s="1"/>
      <c r="Y610" s="1"/>
      <c r="Z610" s="1"/>
    </row>
    <row r="611" spans="1:26" ht="18.600000000000001" hidden="1" x14ac:dyDescent="0.25">
      <c r="A611" s="321" t="s">
        <v>345</v>
      </c>
      <c r="B611" s="321" t="s">
        <v>106</v>
      </c>
      <c r="C611" s="318" t="s">
        <v>45</v>
      </c>
      <c r="D611">
        <v>18090</v>
      </c>
      <c r="E611" s="143">
        <v>80000</v>
      </c>
      <c r="F611" s="117">
        <v>1403</v>
      </c>
      <c r="G611" s="321" t="s">
        <v>296</v>
      </c>
      <c r="H611" s="144">
        <f>bargiri[[#This Row],[میزان بارگیری شده]]*bargiri[[#This Row],[فی]]</f>
        <v>1447200000</v>
      </c>
      <c r="I611" s="321">
        <f>IF(year=bargiri[[#This Row],[سال]],1,0)</f>
        <v>0</v>
      </c>
      <c r="X611" s="1"/>
      <c r="Y611" s="1"/>
      <c r="Z611" s="1"/>
    </row>
    <row r="612" spans="1:26" ht="18.600000000000001" x14ac:dyDescent="0.25">
      <c r="A612" s="321" t="s">
        <v>345</v>
      </c>
      <c r="B612" s="321" t="s">
        <v>118</v>
      </c>
      <c r="C612" s="318" t="s">
        <v>84</v>
      </c>
      <c r="D612">
        <v>20570</v>
      </c>
      <c r="E612" s="143">
        <v>57273</v>
      </c>
      <c r="F612" s="117">
        <v>1403</v>
      </c>
      <c r="G612" s="321" t="s">
        <v>296</v>
      </c>
      <c r="H612" s="144">
        <f>bargiri[[#This Row],[میزان بارگیری شده]]*bargiri[[#This Row],[فی]]</f>
        <v>1178105610</v>
      </c>
      <c r="I612" s="321">
        <f>IF(year=bargiri[[#This Row],[سال]],1,0)</f>
        <v>0</v>
      </c>
      <c r="X612" s="1"/>
      <c r="Y612" s="1"/>
      <c r="Z612" s="1"/>
    </row>
    <row r="613" spans="1:26" ht="18.600000000000001" x14ac:dyDescent="0.25">
      <c r="A613" s="321" t="s">
        <v>345</v>
      </c>
      <c r="B613" s="321" t="s">
        <v>118</v>
      </c>
      <c r="C613" s="318" t="s">
        <v>84</v>
      </c>
      <c r="D613">
        <v>20770</v>
      </c>
      <c r="E613" s="143">
        <v>57273</v>
      </c>
      <c r="F613" s="117">
        <v>1403</v>
      </c>
      <c r="G613" s="321" t="s">
        <v>296</v>
      </c>
      <c r="H613" s="144">
        <f>bargiri[[#This Row],[میزان بارگیری شده]]*bargiri[[#This Row],[فی]]</f>
        <v>1189560210</v>
      </c>
      <c r="I613" s="321">
        <f>IF(year=bargiri[[#This Row],[سال]],1,0)</f>
        <v>0</v>
      </c>
      <c r="X613" s="1"/>
      <c r="Y613" s="1"/>
      <c r="Z613" s="1"/>
    </row>
    <row r="614" spans="1:26" ht="18.600000000000001" hidden="1" x14ac:dyDescent="0.25">
      <c r="A614" s="321" t="s">
        <v>345</v>
      </c>
      <c r="B614" s="321" t="s">
        <v>108</v>
      </c>
      <c r="C614" s="318" t="s">
        <v>52</v>
      </c>
      <c r="D614">
        <v>20090</v>
      </c>
      <c r="E614" s="143">
        <v>90000</v>
      </c>
      <c r="F614" s="117">
        <v>1403</v>
      </c>
      <c r="G614" s="321" t="s">
        <v>296</v>
      </c>
      <c r="H614" s="144">
        <f>bargiri[[#This Row],[میزان بارگیری شده]]*bargiri[[#This Row],[فی]]</f>
        <v>1808100000</v>
      </c>
      <c r="I614" s="321">
        <f>IF(year=bargiri[[#This Row],[سال]],1,0)</f>
        <v>0</v>
      </c>
      <c r="X614" s="1"/>
      <c r="Y614" s="1"/>
      <c r="Z614" s="1"/>
    </row>
    <row r="615" spans="1:26" ht="18.600000000000001" hidden="1" x14ac:dyDescent="0.25">
      <c r="A615" s="321" t="s">
        <v>201</v>
      </c>
      <c r="B615" s="321" t="s">
        <v>113</v>
      </c>
      <c r="C615" s="318" t="s">
        <v>61</v>
      </c>
      <c r="D615">
        <v>19130</v>
      </c>
      <c r="E615" s="143">
        <v>75000</v>
      </c>
      <c r="F615" s="117">
        <v>1403</v>
      </c>
      <c r="G615" s="321" t="s">
        <v>296</v>
      </c>
      <c r="H615" s="144">
        <f>bargiri[[#This Row],[میزان بارگیری شده]]*bargiri[[#This Row],[فی]]</f>
        <v>1434750000</v>
      </c>
      <c r="I615" s="321">
        <f>IF(year=bargiri[[#This Row],[سال]],1,0)</f>
        <v>0</v>
      </c>
      <c r="X615" s="1"/>
      <c r="Y615" s="1"/>
      <c r="Z615" s="1"/>
    </row>
    <row r="616" spans="1:26" ht="18.600000000000001" hidden="1" x14ac:dyDescent="0.25">
      <c r="A616" s="321" t="s">
        <v>201</v>
      </c>
      <c r="B616" s="321" t="s">
        <v>117</v>
      </c>
      <c r="C616" s="318" t="s">
        <v>79</v>
      </c>
      <c r="D616">
        <v>19870</v>
      </c>
      <c r="E616" s="143">
        <v>75000</v>
      </c>
      <c r="F616" s="117">
        <v>1403</v>
      </c>
      <c r="G616" s="321" t="s">
        <v>296</v>
      </c>
      <c r="H616" s="144">
        <f>bargiri[[#This Row],[میزان بارگیری شده]]*bargiri[[#This Row],[فی]]</f>
        <v>1490250000</v>
      </c>
      <c r="I616" s="321">
        <f>IF(year=bargiri[[#This Row],[سال]],1,0)</f>
        <v>0</v>
      </c>
      <c r="X616" s="1"/>
      <c r="Y616" s="1"/>
      <c r="Z616" s="1"/>
    </row>
    <row r="617" spans="1:26" ht="18.600000000000001" hidden="1" x14ac:dyDescent="0.25">
      <c r="A617" s="321" t="s">
        <v>201</v>
      </c>
      <c r="B617" s="321" t="s">
        <v>98</v>
      </c>
      <c r="C617" s="318" t="s">
        <v>7</v>
      </c>
      <c r="D617">
        <v>22235</v>
      </c>
      <c r="E617" s="143">
        <v>92180</v>
      </c>
      <c r="F617" s="117">
        <v>1403</v>
      </c>
      <c r="G617" s="321" t="s">
        <v>296</v>
      </c>
      <c r="H617" s="144">
        <f>bargiri[[#This Row],[میزان بارگیری شده]]*bargiri[[#This Row],[فی]]</f>
        <v>2049622300</v>
      </c>
      <c r="I617" s="321">
        <f>IF(year=bargiri[[#This Row],[سال]],1,0)</f>
        <v>0</v>
      </c>
      <c r="X617" s="1"/>
      <c r="Y617" s="1"/>
      <c r="Z617" s="1"/>
    </row>
    <row r="618" spans="1:26" ht="18.600000000000001" hidden="1" x14ac:dyDescent="0.25">
      <c r="A618" s="321" t="s">
        <v>201</v>
      </c>
      <c r="B618" s="321" t="s">
        <v>104</v>
      </c>
      <c r="C618" s="318" t="s">
        <v>40</v>
      </c>
      <c r="D618">
        <v>18030</v>
      </c>
      <c r="E618" s="143">
        <v>92180</v>
      </c>
      <c r="F618" s="117">
        <v>1403</v>
      </c>
      <c r="G618" s="321" t="s">
        <v>296</v>
      </c>
      <c r="H618" s="144">
        <f>bargiri[[#This Row],[میزان بارگیری شده]]*bargiri[[#This Row],[فی]]</f>
        <v>1662005400</v>
      </c>
      <c r="I618" s="321">
        <f>IF(year=bargiri[[#This Row],[سال]],1,0)</f>
        <v>0</v>
      </c>
      <c r="X618" s="1"/>
      <c r="Y618" s="1"/>
      <c r="Z618" s="1"/>
    </row>
    <row r="619" spans="1:26" ht="18.600000000000001" hidden="1" x14ac:dyDescent="0.25">
      <c r="A619" s="321" t="s">
        <v>201</v>
      </c>
      <c r="B619" s="321" t="s">
        <v>104</v>
      </c>
      <c r="C619" s="318" t="s">
        <v>39</v>
      </c>
      <c r="D619">
        <v>810</v>
      </c>
      <c r="E619" s="143">
        <v>65000</v>
      </c>
      <c r="F619" s="117">
        <v>1403</v>
      </c>
      <c r="G619" s="321" t="s">
        <v>296</v>
      </c>
      <c r="H619" s="144">
        <f>bargiri[[#This Row],[میزان بارگیری شده]]*bargiri[[#This Row],[فی]]</f>
        <v>52650000</v>
      </c>
      <c r="I619" s="321">
        <f>IF(year=bargiri[[#This Row],[سال]],1,0)</f>
        <v>0</v>
      </c>
      <c r="X619" s="1"/>
      <c r="Y619" s="1"/>
      <c r="Z619" s="1"/>
    </row>
    <row r="620" spans="1:26" ht="18.600000000000001" hidden="1" x14ac:dyDescent="0.25">
      <c r="A620" s="321" t="s">
        <v>201</v>
      </c>
      <c r="B620" s="321" t="s">
        <v>110</v>
      </c>
      <c r="C620" s="318" t="s">
        <v>57</v>
      </c>
      <c r="D620">
        <v>11430</v>
      </c>
      <c r="E620" s="143">
        <v>78000</v>
      </c>
      <c r="F620" s="117">
        <v>1403</v>
      </c>
      <c r="G620" s="321" t="s">
        <v>296</v>
      </c>
      <c r="H620" s="144">
        <f>bargiri[[#This Row],[میزان بارگیری شده]]*bargiri[[#This Row],[فی]]</f>
        <v>891540000</v>
      </c>
      <c r="I620" s="321">
        <f>IF(year=bargiri[[#This Row],[سال]],1,0)</f>
        <v>0</v>
      </c>
      <c r="X620" s="1"/>
      <c r="Y620" s="1"/>
      <c r="Z620" s="1"/>
    </row>
    <row r="621" spans="1:26" ht="18.600000000000001" hidden="1" x14ac:dyDescent="0.25">
      <c r="A621" s="321" t="s">
        <v>346</v>
      </c>
      <c r="B621" s="321" t="s">
        <v>120</v>
      </c>
      <c r="C621" s="318" t="s">
        <v>88</v>
      </c>
      <c r="D621">
        <v>8905</v>
      </c>
      <c r="E621" s="143">
        <v>80000</v>
      </c>
      <c r="F621" s="117">
        <v>1403</v>
      </c>
      <c r="G621" s="321" t="s">
        <v>296</v>
      </c>
      <c r="H621" s="144">
        <f>bargiri[[#This Row],[میزان بارگیری شده]]*bargiri[[#This Row],[فی]]</f>
        <v>712400000</v>
      </c>
      <c r="I621" s="321">
        <f>IF(year=bargiri[[#This Row],[سال]],1,0)</f>
        <v>0</v>
      </c>
      <c r="X621" s="1"/>
      <c r="Y621" s="1"/>
      <c r="Z621" s="1"/>
    </row>
    <row r="622" spans="1:26" ht="18.600000000000001" hidden="1" x14ac:dyDescent="0.25">
      <c r="A622" s="321" t="s">
        <v>346</v>
      </c>
      <c r="B622" s="321" t="s">
        <v>116</v>
      </c>
      <c r="C622" s="318" t="s">
        <v>77</v>
      </c>
      <c r="D622">
        <v>20060</v>
      </c>
      <c r="E622" s="143">
        <v>68500</v>
      </c>
      <c r="F622" s="117">
        <v>1403</v>
      </c>
      <c r="G622" s="321" t="s">
        <v>296</v>
      </c>
      <c r="H622" s="144">
        <f>bargiri[[#This Row],[میزان بارگیری شده]]*bargiri[[#This Row],[فی]]</f>
        <v>1374110000</v>
      </c>
      <c r="I622" s="321">
        <f>IF(year=bargiri[[#This Row],[سال]],1,0)</f>
        <v>0</v>
      </c>
      <c r="X622" s="1"/>
      <c r="Y622" s="1"/>
      <c r="Z622" s="1"/>
    </row>
    <row r="623" spans="1:26" ht="18.600000000000001" hidden="1" x14ac:dyDescent="0.25">
      <c r="A623" s="321" t="s">
        <v>346</v>
      </c>
      <c r="B623" s="321" t="s">
        <v>101</v>
      </c>
      <c r="C623" s="318" t="s">
        <v>19</v>
      </c>
      <c r="D623">
        <v>19965</v>
      </c>
      <c r="E623" s="143">
        <v>75000</v>
      </c>
      <c r="F623" s="117">
        <v>1403</v>
      </c>
      <c r="G623" s="321" t="s">
        <v>296</v>
      </c>
      <c r="H623" s="144">
        <f>bargiri[[#This Row],[میزان بارگیری شده]]*bargiri[[#This Row],[فی]]</f>
        <v>1497375000</v>
      </c>
      <c r="I623" s="321">
        <f>IF(year=bargiri[[#This Row],[سال]],1,0)</f>
        <v>0</v>
      </c>
      <c r="X623" s="1"/>
      <c r="Y623" s="1"/>
      <c r="Z623" s="1"/>
    </row>
    <row r="624" spans="1:26" ht="18.600000000000001" x14ac:dyDescent="0.25">
      <c r="A624" s="321" t="s">
        <v>346</v>
      </c>
      <c r="B624" s="321" t="s">
        <v>118</v>
      </c>
      <c r="C624" s="318" t="s">
        <v>84</v>
      </c>
      <c r="D624">
        <v>20780</v>
      </c>
      <c r="E624" s="143">
        <v>57273</v>
      </c>
      <c r="F624" s="117">
        <v>1403</v>
      </c>
      <c r="G624" s="321" t="s">
        <v>296</v>
      </c>
      <c r="H624" s="144">
        <f>bargiri[[#This Row],[میزان بارگیری شده]]*bargiri[[#This Row],[فی]]</f>
        <v>1190132940</v>
      </c>
      <c r="I624" s="321">
        <f>IF(year=bargiri[[#This Row],[سال]],1,0)</f>
        <v>0</v>
      </c>
      <c r="X624" s="1"/>
      <c r="Y624" s="1"/>
      <c r="Z624" s="1"/>
    </row>
    <row r="625" spans="1:26" ht="18.600000000000001" hidden="1" x14ac:dyDescent="0.25">
      <c r="A625" s="321" t="s">
        <v>346</v>
      </c>
      <c r="B625" s="321" t="s">
        <v>102</v>
      </c>
      <c r="C625" s="318" t="s">
        <v>24</v>
      </c>
      <c r="D625">
        <v>11790</v>
      </c>
      <c r="E625" s="143">
        <v>70000</v>
      </c>
      <c r="F625" s="117">
        <v>1403</v>
      </c>
      <c r="G625" s="321" t="s">
        <v>296</v>
      </c>
      <c r="H625" s="144">
        <f>bargiri[[#This Row],[میزان بارگیری شده]]*bargiri[[#This Row],[فی]]</f>
        <v>825300000</v>
      </c>
      <c r="I625" s="321">
        <f>IF(year=bargiri[[#This Row],[سال]],1,0)</f>
        <v>0</v>
      </c>
      <c r="X625" s="1"/>
      <c r="Y625" s="1"/>
      <c r="Z625" s="1"/>
    </row>
    <row r="626" spans="1:26" ht="18.600000000000001" x14ac:dyDescent="0.25">
      <c r="A626" s="321" t="s">
        <v>346</v>
      </c>
      <c r="B626" s="321" t="s">
        <v>118</v>
      </c>
      <c r="C626" s="318" t="s">
        <v>84</v>
      </c>
      <c r="D626">
        <v>20725</v>
      </c>
      <c r="E626" s="143">
        <v>57273</v>
      </c>
      <c r="F626" s="117">
        <v>1403</v>
      </c>
      <c r="G626" s="321" t="s">
        <v>296</v>
      </c>
      <c r="H626" s="144">
        <f>bargiri[[#This Row],[میزان بارگیری شده]]*bargiri[[#This Row],[فی]]</f>
        <v>1186982925</v>
      </c>
      <c r="I626" s="321">
        <f>IF(year=bargiri[[#This Row],[سال]],1,0)</f>
        <v>0</v>
      </c>
      <c r="X626" s="1"/>
      <c r="Y626" s="1"/>
      <c r="Z626" s="1"/>
    </row>
    <row r="627" spans="1:26" ht="18.600000000000001" hidden="1" x14ac:dyDescent="0.25">
      <c r="A627" s="321" t="s">
        <v>346</v>
      </c>
      <c r="B627" s="321" t="s">
        <v>113</v>
      </c>
      <c r="C627" s="318" t="s">
        <v>61</v>
      </c>
      <c r="D627">
        <v>18715</v>
      </c>
      <c r="E627" s="143">
        <v>75000</v>
      </c>
      <c r="F627" s="117">
        <v>1403</v>
      </c>
      <c r="G627" s="321" t="s">
        <v>296</v>
      </c>
      <c r="H627" s="144">
        <f>bargiri[[#This Row],[میزان بارگیری شده]]*bargiri[[#This Row],[فی]]</f>
        <v>1403625000</v>
      </c>
      <c r="I627" s="321">
        <f>IF(year=bargiri[[#This Row],[سال]],1,0)</f>
        <v>0</v>
      </c>
      <c r="X627" s="1"/>
      <c r="Y627" s="1"/>
      <c r="Z627" s="1"/>
    </row>
    <row r="628" spans="1:26" ht="18.600000000000001" hidden="1" x14ac:dyDescent="0.25">
      <c r="A628" s="321" t="s">
        <v>346</v>
      </c>
      <c r="B628" s="321" t="s">
        <v>114</v>
      </c>
      <c r="C628" s="318" t="s">
        <v>63</v>
      </c>
      <c r="D628">
        <v>22010</v>
      </c>
      <c r="E628" s="143">
        <v>75000</v>
      </c>
      <c r="F628" s="117">
        <v>1403</v>
      </c>
      <c r="G628" s="321" t="s">
        <v>296</v>
      </c>
      <c r="H628" s="144">
        <f>bargiri[[#This Row],[میزان بارگیری شده]]*bargiri[[#This Row],[فی]]</f>
        <v>1650750000</v>
      </c>
      <c r="I628" s="321">
        <f>IF(year=bargiri[[#This Row],[سال]],1,0)</f>
        <v>0</v>
      </c>
      <c r="X628" s="1"/>
      <c r="Y628" s="1"/>
      <c r="Z628" s="1"/>
    </row>
    <row r="629" spans="1:26" ht="18.600000000000001" hidden="1" x14ac:dyDescent="0.25">
      <c r="A629" s="321" t="s">
        <v>346</v>
      </c>
      <c r="B629" s="321" t="s">
        <v>107</v>
      </c>
      <c r="C629" s="318" t="s">
        <v>50</v>
      </c>
      <c r="D629">
        <v>19055</v>
      </c>
      <c r="E629" s="143">
        <v>70000</v>
      </c>
      <c r="F629" s="117">
        <v>1403</v>
      </c>
      <c r="G629" s="321" t="s">
        <v>296</v>
      </c>
      <c r="H629" s="144">
        <f>bargiri[[#This Row],[میزان بارگیری شده]]*bargiri[[#This Row],[فی]]</f>
        <v>1333850000</v>
      </c>
      <c r="I629" s="321">
        <f>IF(year=bargiri[[#This Row],[سال]],1,0)</f>
        <v>0</v>
      </c>
      <c r="X629" s="1"/>
      <c r="Y629" s="1"/>
      <c r="Z629" s="1"/>
    </row>
    <row r="630" spans="1:26" ht="18.600000000000001" hidden="1" x14ac:dyDescent="0.25">
      <c r="A630" s="321" t="s">
        <v>347</v>
      </c>
      <c r="B630" s="321" t="s">
        <v>123</v>
      </c>
      <c r="C630" s="318" t="s">
        <v>93</v>
      </c>
      <c r="D630">
        <v>7115</v>
      </c>
      <c r="E630" s="143">
        <v>75000</v>
      </c>
      <c r="F630" s="117">
        <v>1403</v>
      </c>
      <c r="G630" s="321" t="s">
        <v>296</v>
      </c>
      <c r="H630" s="144">
        <f>bargiri[[#This Row],[میزان بارگیری شده]]*bargiri[[#This Row],[فی]]</f>
        <v>533625000</v>
      </c>
      <c r="I630" s="321">
        <f>IF(year=bargiri[[#This Row],[سال]],1,0)</f>
        <v>0</v>
      </c>
      <c r="X630" s="1"/>
      <c r="Y630" s="1"/>
      <c r="Z630" s="1"/>
    </row>
    <row r="631" spans="1:26" ht="18.600000000000001" hidden="1" x14ac:dyDescent="0.25">
      <c r="A631" s="321" t="s">
        <v>347</v>
      </c>
      <c r="B631" s="321" t="s">
        <v>107</v>
      </c>
      <c r="C631" s="318" t="s">
        <v>50</v>
      </c>
      <c r="D631">
        <v>19045</v>
      </c>
      <c r="E631" s="143">
        <v>70000</v>
      </c>
      <c r="F631" s="117">
        <v>1403</v>
      </c>
      <c r="G631" s="321" t="s">
        <v>296</v>
      </c>
      <c r="H631" s="144">
        <f>bargiri[[#This Row],[میزان بارگیری شده]]*bargiri[[#This Row],[فی]]</f>
        <v>1333150000</v>
      </c>
      <c r="I631" s="321">
        <f>IF(year=bargiri[[#This Row],[سال]],1,0)</f>
        <v>0</v>
      </c>
      <c r="X631" s="1"/>
      <c r="Y631" s="1"/>
      <c r="Z631" s="1"/>
    </row>
    <row r="632" spans="1:26" ht="18.600000000000001" hidden="1" x14ac:dyDescent="0.25">
      <c r="A632" s="321" t="s">
        <v>347</v>
      </c>
      <c r="B632" s="321" t="s">
        <v>122</v>
      </c>
      <c r="C632" s="318" t="s">
        <v>91</v>
      </c>
      <c r="D632">
        <v>20030</v>
      </c>
      <c r="E632" s="143">
        <v>75000</v>
      </c>
      <c r="F632" s="117">
        <v>1403</v>
      </c>
      <c r="G632" s="321" t="s">
        <v>296</v>
      </c>
      <c r="H632" s="144">
        <f>bargiri[[#This Row],[میزان بارگیری شده]]*bargiri[[#This Row],[فی]]</f>
        <v>1502250000</v>
      </c>
      <c r="I632" s="321">
        <f>IF(year=bargiri[[#This Row],[سال]],1,0)</f>
        <v>0</v>
      </c>
      <c r="X632" s="1"/>
      <c r="Y632" s="1"/>
      <c r="Z632" s="1"/>
    </row>
    <row r="633" spans="1:26" ht="18.600000000000001" hidden="1" x14ac:dyDescent="0.25">
      <c r="A633" s="321" t="s">
        <v>347</v>
      </c>
      <c r="B633" s="321" t="s">
        <v>103</v>
      </c>
      <c r="C633" s="318" t="s">
        <v>29</v>
      </c>
      <c r="D633">
        <v>7510</v>
      </c>
      <c r="E633" s="143">
        <v>75000</v>
      </c>
      <c r="F633" s="117">
        <v>1403</v>
      </c>
      <c r="G633" s="321" t="s">
        <v>296</v>
      </c>
      <c r="H633" s="144">
        <f>bargiri[[#This Row],[میزان بارگیری شده]]*bargiri[[#This Row],[فی]]</f>
        <v>563250000</v>
      </c>
      <c r="I633" s="321">
        <f>IF(year=bargiri[[#This Row],[سال]],1,0)</f>
        <v>0</v>
      </c>
      <c r="X633" s="1"/>
      <c r="Y633" s="1"/>
      <c r="Z633" s="1"/>
    </row>
    <row r="634" spans="1:26" ht="18.600000000000001" hidden="1" x14ac:dyDescent="0.25">
      <c r="A634" s="321" t="s">
        <v>346</v>
      </c>
      <c r="B634" s="321" t="s">
        <v>110</v>
      </c>
      <c r="C634" s="318" t="s">
        <v>57</v>
      </c>
      <c r="D634">
        <v>12450</v>
      </c>
      <c r="E634" s="143">
        <v>78000</v>
      </c>
      <c r="F634" s="117">
        <v>1403</v>
      </c>
      <c r="G634" s="321" t="s">
        <v>296</v>
      </c>
      <c r="H634" s="144">
        <f>bargiri[[#This Row],[میزان بارگیری شده]]*bargiri[[#This Row],[فی]]</f>
        <v>971100000</v>
      </c>
      <c r="I634" s="321">
        <f>IF(year=bargiri[[#This Row],[سال]],1,0)</f>
        <v>0</v>
      </c>
      <c r="X634" s="1"/>
      <c r="Y634" s="1"/>
      <c r="Z634" s="1"/>
    </row>
    <row r="635" spans="1:26" ht="18.600000000000001" hidden="1" x14ac:dyDescent="0.25">
      <c r="A635" s="321" t="s">
        <v>348</v>
      </c>
      <c r="B635" s="321" t="s">
        <v>104</v>
      </c>
      <c r="C635" s="318" t="s">
        <v>40</v>
      </c>
      <c r="D635">
        <v>14020</v>
      </c>
      <c r="E635" s="143">
        <v>92180</v>
      </c>
      <c r="F635" s="117">
        <v>1403</v>
      </c>
      <c r="G635" s="321" t="s">
        <v>296</v>
      </c>
      <c r="H635" s="144">
        <f>bargiri[[#This Row],[میزان بارگیری شده]]*bargiri[[#This Row],[فی]]</f>
        <v>1292363600</v>
      </c>
      <c r="I635" s="321">
        <f>IF(year=bargiri[[#This Row],[سال]],1,0)</f>
        <v>0</v>
      </c>
      <c r="X635" s="1"/>
      <c r="Y635" s="1"/>
      <c r="Z635" s="1"/>
    </row>
    <row r="636" spans="1:26" ht="18.600000000000001" hidden="1" x14ac:dyDescent="0.25">
      <c r="A636" s="321" t="s">
        <v>349</v>
      </c>
      <c r="B636" s="321" t="s">
        <v>107</v>
      </c>
      <c r="C636" s="318" t="s">
        <v>50</v>
      </c>
      <c r="D636">
        <v>17980</v>
      </c>
      <c r="E636" s="143">
        <v>70000</v>
      </c>
      <c r="F636" s="117">
        <v>1403</v>
      </c>
      <c r="G636" s="321" t="s">
        <v>296</v>
      </c>
      <c r="H636" s="144">
        <f>bargiri[[#This Row],[میزان بارگیری شده]]*bargiri[[#This Row],[فی]]</f>
        <v>1258600000</v>
      </c>
      <c r="I636" s="321">
        <f>IF(year=bargiri[[#This Row],[سال]],1,0)</f>
        <v>0</v>
      </c>
      <c r="X636" s="1"/>
      <c r="Y636" s="1"/>
      <c r="Z636" s="1"/>
    </row>
    <row r="637" spans="1:26" ht="18.600000000000001" hidden="1" x14ac:dyDescent="0.25">
      <c r="A637" s="321" t="s">
        <v>144</v>
      </c>
      <c r="B637" s="321" t="s">
        <v>98</v>
      </c>
      <c r="C637" s="318" t="s">
        <v>8</v>
      </c>
      <c r="D637">
        <v>2845</v>
      </c>
      <c r="E637" s="143">
        <v>72000</v>
      </c>
      <c r="F637" s="117">
        <v>1403</v>
      </c>
      <c r="G637" s="321" t="s">
        <v>296</v>
      </c>
      <c r="H637" s="144">
        <f>bargiri[[#This Row],[میزان بارگیری شده]]*bargiri[[#This Row],[فی]]</f>
        <v>204840000</v>
      </c>
      <c r="I637" s="321">
        <f>IF(year=bargiri[[#This Row],[سال]],1,0)</f>
        <v>0</v>
      </c>
      <c r="X637" s="1"/>
      <c r="Y637" s="1"/>
      <c r="Z637" s="1"/>
    </row>
    <row r="638" spans="1:26" ht="18.600000000000001" hidden="1" x14ac:dyDescent="0.25">
      <c r="A638" s="321" t="s">
        <v>144</v>
      </c>
      <c r="B638" s="321" t="s">
        <v>98</v>
      </c>
      <c r="C638" s="318" t="s">
        <v>7</v>
      </c>
      <c r="D638">
        <v>19140</v>
      </c>
      <c r="E638" s="143">
        <v>92180</v>
      </c>
      <c r="F638" s="117">
        <v>1403</v>
      </c>
      <c r="G638" s="321" t="s">
        <v>296</v>
      </c>
      <c r="H638" s="144">
        <f>bargiri[[#This Row],[میزان بارگیری شده]]*bargiri[[#This Row],[فی]]</f>
        <v>1764325200</v>
      </c>
      <c r="I638" s="321">
        <f>IF(year=bargiri[[#This Row],[سال]],1,0)</f>
        <v>0</v>
      </c>
      <c r="X638" s="1"/>
      <c r="Y638" s="1"/>
      <c r="Z638" s="1"/>
    </row>
    <row r="639" spans="1:26" ht="18.600000000000001" hidden="1" x14ac:dyDescent="0.25">
      <c r="A639" s="321" t="s">
        <v>350</v>
      </c>
      <c r="B639" s="321" t="s">
        <v>120</v>
      </c>
      <c r="C639" s="318" t="s">
        <v>88</v>
      </c>
      <c r="D639">
        <v>9000</v>
      </c>
      <c r="E639" s="143">
        <v>80000</v>
      </c>
      <c r="F639" s="117">
        <v>1403</v>
      </c>
      <c r="G639" s="321" t="s">
        <v>296</v>
      </c>
      <c r="H639" s="144">
        <f>bargiri[[#This Row],[میزان بارگیری شده]]*bargiri[[#This Row],[فی]]</f>
        <v>720000000</v>
      </c>
      <c r="I639" s="321">
        <f>IF(year=bargiri[[#This Row],[سال]],1,0)</f>
        <v>0</v>
      </c>
      <c r="X639" s="1"/>
      <c r="Y639" s="1"/>
      <c r="Z639" s="1"/>
    </row>
    <row r="640" spans="1:26" ht="18.600000000000001" hidden="1" x14ac:dyDescent="0.25">
      <c r="A640" s="321" t="s">
        <v>350</v>
      </c>
      <c r="B640" s="321" t="s">
        <v>111</v>
      </c>
      <c r="C640" s="318" t="s">
        <v>59</v>
      </c>
      <c r="D640">
        <v>10005</v>
      </c>
      <c r="E640" s="143">
        <v>80000</v>
      </c>
      <c r="F640" s="117">
        <v>1403</v>
      </c>
      <c r="G640" s="321" t="s">
        <v>296</v>
      </c>
      <c r="H640" s="144">
        <f>bargiri[[#This Row],[میزان بارگیری شده]]*bargiri[[#This Row],[فی]]</f>
        <v>800400000</v>
      </c>
      <c r="I640" s="321">
        <f>IF(year=bargiri[[#This Row],[سال]],1,0)</f>
        <v>0</v>
      </c>
      <c r="X640" s="1"/>
      <c r="Y640" s="1"/>
      <c r="Z640" s="1"/>
    </row>
    <row r="641" spans="1:26" ht="18.600000000000001" x14ac:dyDescent="0.25">
      <c r="A641" s="321" t="s">
        <v>351</v>
      </c>
      <c r="B641" s="321" t="s">
        <v>118</v>
      </c>
      <c r="C641" s="318" t="s">
        <v>84</v>
      </c>
      <c r="D641">
        <v>20400</v>
      </c>
      <c r="E641" s="143">
        <v>57273</v>
      </c>
      <c r="F641" s="117">
        <v>1403</v>
      </c>
      <c r="G641" s="321" t="s">
        <v>296</v>
      </c>
      <c r="H641" s="144">
        <f>bargiri[[#This Row],[میزان بارگیری شده]]*bargiri[[#This Row],[فی]]</f>
        <v>1168369200</v>
      </c>
      <c r="I641" s="321">
        <f>IF(year=bargiri[[#This Row],[سال]],1,0)</f>
        <v>0</v>
      </c>
      <c r="X641" s="1"/>
      <c r="Y641" s="1"/>
      <c r="Z641" s="1"/>
    </row>
    <row r="642" spans="1:26" ht="18.600000000000001" x14ac:dyDescent="0.25">
      <c r="A642" s="321" t="s">
        <v>351</v>
      </c>
      <c r="B642" s="321" t="s">
        <v>118</v>
      </c>
      <c r="C642" s="318" t="s">
        <v>84</v>
      </c>
      <c r="D642">
        <v>21110</v>
      </c>
      <c r="E642" s="143">
        <v>57273</v>
      </c>
      <c r="F642" s="117">
        <v>1403</v>
      </c>
      <c r="G642" s="321" t="s">
        <v>296</v>
      </c>
      <c r="H642" s="144">
        <f>bargiri[[#This Row],[میزان بارگیری شده]]*bargiri[[#This Row],[فی]]</f>
        <v>1209033030</v>
      </c>
      <c r="I642" s="321">
        <f>IF(year=bargiri[[#This Row],[سال]],1,0)</f>
        <v>0</v>
      </c>
      <c r="X642" s="1"/>
      <c r="Y642" s="1"/>
      <c r="Z642" s="1"/>
    </row>
    <row r="643" spans="1:26" ht="18.600000000000001" hidden="1" x14ac:dyDescent="0.25">
      <c r="A643" s="321" t="s">
        <v>351</v>
      </c>
      <c r="B643" s="321" t="s">
        <v>107</v>
      </c>
      <c r="C643" s="318" t="s">
        <v>50</v>
      </c>
      <c r="D643">
        <v>18300</v>
      </c>
      <c r="E643" s="143">
        <v>70000</v>
      </c>
      <c r="F643" s="117">
        <v>1403</v>
      </c>
      <c r="G643" s="321" t="s">
        <v>296</v>
      </c>
      <c r="H643" s="144">
        <f>bargiri[[#This Row],[میزان بارگیری شده]]*bargiri[[#This Row],[فی]]</f>
        <v>1281000000</v>
      </c>
      <c r="I643" s="321">
        <f>IF(year=bargiri[[#This Row],[سال]],1,0)</f>
        <v>0</v>
      </c>
      <c r="X643" s="1"/>
      <c r="Y643" s="1"/>
      <c r="Z643" s="1"/>
    </row>
    <row r="644" spans="1:26" ht="18.600000000000001" hidden="1" x14ac:dyDescent="0.25">
      <c r="A644" s="321" t="s">
        <v>352</v>
      </c>
      <c r="B644" s="321" t="s">
        <v>114</v>
      </c>
      <c r="C644" s="318" t="s">
        <v>63</v>
      </c>
      <c r="D644">
        <v>19455</v>
      </c>
      <c r="E644" s="143">
        <v>75000</v>
      </c>
      <c r="F644" s="117">
        <v>1403</v>
      </c>
      <c r="G644" s="321" t="s">
        <v>296</v>
      </c>
      <c r="H644" s="144">
        <f>bargiri[[#This Row],[میزان بارگیری شده]]*bargiri[[#This Row],[فی]]</f>
        <v>1459125000</v>
      </c>
      <c r="I644" s="321">
        <f>IF(year=bargiri[[#This Row],[سال]],1,0)</f>
        <v>0</v>
      </c>
      <c r="X644" s="1"/>
      <c r="Y644" s="1"/>
      <c r="Z644" s="1"/>
    </row>
    <row r="645" spans="1:26" ht="18.600000000000001" hidden="1" x14ac:dyDescent="0.25">
      <c r="A645" s="321" t="s">
        <v>352</v>
      </c>
      <c r="B645" s="321" t="s">
        <v>116</v>
      </c>
      <c r="C645" s="318" t="s">
        <v>72</v>
      </c>
      <c r="D645">
        <v>280</v>
      </c>
      <c r="E645" s="143">
        <v>65000</v>
      </c>
      <c r="F645" s="117">
        <v>1403</v>
      </c>
      <c r="G645" s="321" t="s">
        <v>296</v>
      </c>
      <c r="H645" s="144">
        <f>bargiri[[#This Row],[میزان بارگیری شده]]*bargiri[[#This Row],[فی]]</f>
        <v>18200000</v>
      </c>
      <c r="I645" s="321">
        <f>IF(year=bargiri[[#This Row],[سال]],1,0)</f>
        <v>0</v>
      </c>
      <c r="X645" s="1"/>
      <c r="Y645" s="1"/>
      <c r="Z645" s="1"/>
    </row>
    <row r="646" spans="1:26" ht="18.600000000000001" hidden="1" x14ac:dyDescent="0.25">
      <c r="A646" s="321" t="s">
        <v>352</v>
      </c>
      <c r="B646" s="321" t="s">
        <v>116</v>
      </c>
      <c r="C646" s="318" t="s">
        <v>77</v>
      </c>
      <c r="D646">
        <v>17735</v>
      </c>
      <c r="E646" s="143">
        <v>68500</v>
      </c>
      <c r="F646" s="117">
        <v>1403</v>
      </c>
      <c r="G646" s="321" t="s">
        <v>296</v>
      </c>
      <c r="H646" s="144">
        <f>bargiri[[#This Row],[میزان بارگیری شده]]*bargiri[[#This Row],[فی]]</f>
        <v>1214847500</v>
      </c>
      <c r="I646" s="321">
        <f>IF(year=bargiri[[#This Row],[سال]],1,0)</f>
        <v>0</v>
      </c>
      <c r="X646" s="1"/>
      <c r="Y646" s="1"/>
      <c r="Z646" s="1"/>
    </row>
    <row r="647" spans="1:26" ht="18.600000000000001" hidden="1" x14ac:dyDescent="0.25">
      <c r="A647" s="321" t="s">
        <v>352</v>
      </c>
      <c r="B647" s="321" t="s">
        <v>101</v>
      </c>
      <c r="C647" s="318" t="s">
        <v>19</v>
      </c>
      <c r="D647">
        <v>20040</v>
      </c>
      <c r="E647" s="143">
        <v>75000</v>
      </c>
      <c r="F647" s="117">
        <v>1403</v>
      </c>
      <c r="G647" s="321" t="s">
        <v>296</v>
      </c>
      <c r="H647" s="144">
        <f>bargiri[[#This Row],[میزان بارگیری شده]]*bargiri[[#This Row],[فی]]</f>
        <v>1503000000</v>
      </c>
      <c r="I647" s="321">
        <f>IF(year=bargiri[[#This Row],[سال]],1,0)</f>
        <v>0</v>
      </c>
      <c r="X647" s="1"/>
      <c r="Y647" s="1"/>
      <c r="Z647" s="1"/>
    </row>
    <row r="648" spans="1:26" ht="18.600000000000001" hidden="1" x14ac:dyDescent="0.25">
      <c r="A648" s="321" t="s">
        <v>132</v>
      </c>
      <c r="B648" s="321" t="s">
        <v>113</v>
      </c>
      <c r="C648" s="318" t="s">
        <v>61</v>
      </c>
      <c r="D648">
        <v>18980</v>
      </c>
      <c r="E648" s="143">
        <v>75000</v>
      </c>
      <c r="F648" s="117">
        <v>1403</v>
      </c>
      <c r="G648" s="321" t="s">
        <v>296</v>
      </c>
      <c r="H648" s="144">
        <f>bargiri[[#This Row],[میزان بارگیری شده]]*bargiri[[#This Row],[فی]]</f>
        <v>1423500000</v>
      </c>
      <c r="I648" s="321">
        <f>IF(year=bargiri[[#This Row],[سال]],1,0)</f>
        <v>0</v>
      </c>
      <c r="X648" s="1"/>
      <c r="Y648" s="1"/>
      <c r="Z648" s="1"/>
    </row>
    <row r="649" spans="1:26" ht="18.600000000000001" hidden="1" x14ac:dyDescent="0.25">
      <c r="A649" s="321" t="s">
        <v>132</v>
      </c>
      <c r="B649" s="321" t="s">
        <v>102</v>
      </c>
      <c r="C649" s="318" t="s">
        <v>24</v>
      </c>
      <c r="D649">
        <v>11405</v>
      </c>
      <c r="E649" s="143">
        <v>70000</v>
      </c>
      <c r="F649" s="117">
        <v>1403</v>
      </c>
      <c r="G649" s="321" t="s">
        <v>296</v>
      </c>
      <c r="H649" s="144">
        <f>bargiri[[#This Row],[میزان بارگیری شده]]*bargiri[[#This Row],[فی]]</f>
        <v>798350000</v>
      </c>
      <c r="I649" s="321">
        <f>IF(year=bargiri[[#This Row],[سال]],1,0)</f>
        <v>0</v>
      </c>
      <c r="X649" s="1"/>
      <c r="Y649" s="1"/>
      <c r="Z649" s="1"/>
    </row>
    <row r="650" spans="1:26" ht="18.600000000000001" hidden="1" x14ac:dyDescent="0.25">
      <c r="A650" s="321" t="s">
        <v>132</v>
      </c>
      <c r="B650" s="321" t="s">
        <v>116</v>
      </c>
      <c r="C650" s="318" t="s">
        <v>72</v>
      </c>
      <c r="D650">
        <v>18105</v>
      </c>
      <c r="E650" s="143">
        <v>65000</v>
      </c>
      <c r="F650" s="117">
        <v>1403</v>
      </c>
      <c r="G650" s="321" t="s">
        <v>296</v>
      </c>
      <c r="H650" s="144">
        <f>bargiri[[#This Row],[میزان بارگیری شده]]*bargiri[[#This Row],[فی]]</f>
        <v>1176825000</v>
      </c>
      <c r="I650" s="321">
        <f>IF(year=bargiri[[#This Row],[سال]],1,0)</f>
        <v>0</v>
      </c>
      <c r="X650" s="1"/>
      <c r="Y650" s="1"/>
      <c r="Z650" s="1"/>
    </row>
    <row r="651" spans="1:26" ht="18.600000000000001" x14ac:dyDescent="0.25">
      <c r="A651" s="321" t="s">
        <v>132</v>
      </c>
      <c r="B651" s="321" t="s">
        <v>118</v>
      </c>
      <c r="C651" s="318" t="s">
        <v>84</v>
      </c>
      <c r="D651">
        <v>20880</v>
      </c>
      <c r="E651" s="143">
        <v>57273</v>
      </c>
      <c r="F651" s="117">
        <v>1403</v>
      </c>
      <c r="G651" s="321" t="s">
        <v>296</v>
      </c>
      <c r="H651" s="144">
        <f>bargiri[[#This Row],[میزان بارگیری شده]]*bargiri[[#This Row],[فی]]</f>
        <v>1195860240</v>
      </c>
      <c r="I651" s="321">
        <f>IF(year=bargiri[[#This Row],[سال]],1,0)</f>
        <v>0</v>
      </c>
      <c r="X651" s="1"/>
      <c r="Y651" s="1"/>
      <c r="Z651" s="1"/>
    </row>
    <row r="652" spans="1:26" ht="18.600000000000001" x14ac:dyDescent="0.25">
      <c r="A652" s="321" t="s">
        <v>132</v>
      </c>
      <c r="B652" s="321" t="s">
        <v>118</v>
      </c>
      <c r="C652" s="318" t="s">
        <v>84</v>
      </c>
      <c r="D652">
        <v>20960</v>
      </c>
      <c r="E652" s="143">
        <v>57273</v>
      </c>
      <c r="F652" s="117">
        <v>1403</v>
      </c>
      <c r="G652" s="321" t="s">
        <v>296</v>
      </c>
      <c r="H652" s="144">
        <f>bargiri[[#This Row],[میزان بارگیری شده]]*bargiri[[#This Row],[فی]]</f>
        <v>1200442080</v>
      </c>
      <c r="I652" s="321">
        <f>IF(year=bargiri[[#This Row],[سال]],1,0)</f>
        <v>0</v>
      </c>
      <c r="X652" s="1"/>
      <c r="Y652" s="1"/>
      <c r="Z652" s="1"/>
    </row>
    <row r="653" spans="1:26" ht="18.600000000000001" x14ac:dyDescent="0.25">
      <c r="A653" s="321" t="s">
        <v>132</v>
      </c>
      <c r="B653" s="321" t="s">
        <v>118</v>
      </c>
      <c r="C653" s="318" t="s">
        <v>84</v>
      </c>
      <c r="D653">
        <v>21645</v>
      </c>
      <c r="E653" s="143">
        <v>57273</v>
      </c>
      <c r="F653" s="117">
        <v>1403</v>
      </c>
      <c r="G653" s="321" t="s">
        <v>296</v>
      </c>
      <c r="H653" s="144">
        <f>bargiri[[#This Row],[میزان بارگیری شده]]*bargiri[[#This Row],[فی]]</f>
        <v>1239674085</v>
      </c>
      <c r="I653" s="321">
        <f>IF(year=bargiri[[#This Row],[سال]],1,0)</f>
        <v>0</v>
      </c>
      <c r="X653" s="1"/>
      <c r="Y653" s="1"/>
      <c r="Z653" s="1"/>
    </row>
    <row r="654" spans="1:26" ht="18.600000000000001" hidden="1" x14ac:dyDescent="0.25">
      <c r="A654" s="321" t="s">
        <v>353</v>
      </c>
      <c r="B654" s="321" t="s">
        <v>116</v>
      </c>
      <c r="C654" s="318" t="s">
        <v>72</v>
      </c>
      <c r="D654">
        <v>18985</v>
      </c>
      <c r="E654" s="143">
        <v>65000</v>
      </c>
      <c r="F654" s="117">
        <v>1403</v>
      </c>
      <c r="G654" s="321" t="s">
        <v>296</v>
      </c>
      <c r="H654" s="144">
        <f>bargiri[[#This Row],[میزان بارگیری شده]]*bargiri[[#This Row],[فی]]</f>
        <v>1234025000</v>
      </c>
      <c r="I654" s="321">
        <f>IF(year=bargiri[[#This Row],[سال]],1,0)</f>
        <v>0</v>
      </c>
      <c r="X654" s="1"/>
      <c r="Y654" s="1"/>
      <c r="Z654" s="1"/>
    </row>
    <row r="655" spans="1:26" ht="18.600000000000001" hidden="1" x14ac:dyDescent="0.25">
      <c r="A655" s="321" t="s">
        <v>353</v>
      </c>
      <c r="B655" s="321" t="s">
        <v>122</v>
      </c>
      <c r="C655" s="318" t="s">
        <v>91</v>
      </c>
      <c r="D655">
        <v>10330</v>
      </c>
      <c r="E655" s="143">
        <v>75000</v>
      </c>
      <c r="F655" s="117">
        <v>1403</v>
      </c>
      <c r="G655" s="321" t="s">
        <v>296</v>
      </c>
      <c r="H655" s="144">
        <f>bargiri[[#This Row],[میزان بارگیری شده]]*bargiri[[#This Row],[فی]]</f>
        <v>774750000</v>
      </c>
      <c r="I655" s="321">
        <f>IF(year=bargiri[[#This Row],[سال]],1,0)</f>
        <v>0</v>
      </c>
      <c r="X655" s="1"/>
      <c r="Y655" s="1"/>
      <c r="Z655" s="1"/>
    </row>
    <row r="656" spans="1:26" ht="18.600000000000001" hidden="1" x14ac:dyDescent="0.25">
      <c r="A656" s="321" t="s">
        <v>353</v>
      </c>
      <c r="B656" s="321" t="s">
        <v>113</v>
      </c>
      <c r="C656" s="318" t="s">
        <v>61</v>
      </c>
      <c r="D656">
        <v>20090</v>
      </c>
      <c r="E656" s="143">
        <v>75000</v>
      </c>
      <c r="F656" s="117">
        <v>1403</v>
      </c>
      <c r="G656" s="321" t="s">
        <v>296</v>
      </c>
      <c r="H656" s="144">
        <f>bargiri[[#This Row],[میزان بارگیری شده]]*bargiri[[#This Row],[فی]]</f>
        <v>1506750000</v>
      </c>
      <c r="I656" s="321">
        <f>IF(year=bargiri[[#This Row],[سال]],1,0)</f>
        <v>0</v>
      </c>
      <c r="X656" s="1"/>
      <c r="Y656" s="1"/>
      <c r="Z656" s="1"/>
    </row>
    <row r="657" spans="1:26" ht="18.600000000000001" hidden="1" x14ac:dyDescent="0.25">
      <c r="A657" s="321" t="s">
        <v>353</v>
      </c>
      <c r="B657" s="321" t="s">
        <v>120</v>
      </c>
      <c r="C657" s="318" t="s">
        <v>88</v>
      </c>
      <c r="D657">
        <v>8040</v>
      </c>
      <c r="E657" s="143">
        <v>80000</v>
      </c>
      <c r="F657" s="117">
        <v>1403</v>
      </c>
      <c r="G657" s="321" t="s">
        <v>296</v>
      </c>
      <c r="H657" s="144">
        <f>bargiri[[#This Row],[میزان بارگیری شده]]*bargiri[[#This Row],[فی]]</f>
        <v>643200000</v>
      </c>
      <c r="I657" s="321">
        <f>IF(year=bargiri[[#This Row],[سال]],1,0)</f>
        <v>0</v>
      </c>
      <c r="X657" s="1"/>
      <c r="Y657" s="1"/>
      <c r="Z657" s="1"/>
    </row>
    <row r="658" spans="1:26" ht="18.600000000000001" hidden="1" x14ac:dyDescent="0.25">
      <c r="A658" s="321" t="s">
        <v>353</v>
      </c>
      <c r="B658" s="321" t="s">
        <v>123</v>
      </c>
      <c r="C658" s="318" t="s">
        <v>93</v>
      </c>
      <c r="D658">
        <v>7740</v>
      </c>
      <c r="E658" s="143">
        <v>75000</v>
      </c>
      <c r="F658" s="117">
        <v>1403</v>
      </c>
      <c r="G658" s="321" t="s">
        <v>296</v>
      </c>
      <c r="H658" s="144">
        <f>bargiri[[#This Row],[میزان بارگیری شده]]*bargiri[[#This Row],[فی]]</f>
        <v>580500000</v>
      </c>
      <c r="I658" s="321">
        <f>IF(year=bargiri[[#This Row],[سال]],1,0)</f>
        <v>0</v>
      </c>
      <c r="X658" s="1"/>
      <c r="Y658" s="1"/>
      <c r="Z658" s="1"/>
    </row>
    <row r="659" spans="1:26" ht="18.600000000000001" hidden="1" x14ac:dyDescent="0.25">
      <c r="A659" s="321" t="s">
        <v>353</v>
      </c>
      <c r="B659" s="321" t="s">
        <v>122</v>
      </c>
      <c r="C659" s="318" t="s">
        <v>91</v>
      </c>
      <c r="D659">
        <v>10380</v>
      </c>
      <c r="E659" s="143">
        <v>75000</v>
      </c>
      <c r="F659" s="117">
        <v>1403</v>
      </c>
      <c r="G659" s="321" t="s">
        <v>296</v>
      </c>
      <c r="H659" s="144">
        <f>bargiri[[#This Row],[میزان بارگیری شده]]*bargiri[[#This Row],[فی]]</f>
        <v>778500000</v>
      </c>
      <c r="I659" s="321">
        <f>IF(year=bargiri[[#This Row],[سال]],1,0)</f>
        <v>0</v>
      </c>
      <c r="X659" s="1"/>
      <c r="Y659" s="1"/>
      <c r="Z659" s="1"/>
    </row>
    <row r="660" spans="1:26" ht="18.600000000000001" hidden="1" x14ac:dyDescent="0.25">
      <c r="A660" s="321" t="s">
        <v>353</v>
      </c>
      <c r="B660" s="321" t="s">
        <v>120</v>
      </c>
      <c r="C660" s="318" t="s">
        <v>88</v>
      </c>
      <c r="D660">
        <v>8940</v>
      </c>
      <c r="E660" s="143">
        <v>80000</v>
      </c>
      <c r="F660" s="117">
        <v>1403</v>
      </c>
      <c r="G660" s="321" t="s">
        <v>296</v>
      </c>
      <c r="H660" s="144">
        <f>bargiri[[#This Row],[میزان بارگیری شده]]*bargiri[[#This Row],[فی]]</f>
        <v>715200000</v>
      </c>
      <c r="I660" s="321">
        <f>IF(year=bargiri[[#This Row],[سال]],1,0)</f>
        <v>0</v>
      </c>
      <c r="X660" s="1"/>
      <c r="Y660" s="1"/>
      <c r="Z660" s="1"/>
    </row>
    <row r="661" spans="1:26" ht="18.600000000000001" hidden="1" x14ac:dyDescent="0.25">
      <c r="A661" s="321" t="s">
        <v>133</v>
      </c>
      <c r="B661" s="321" t="s">
        <v>104</v>
      </c>
      <c r="C661" s="318" t="s">
        <v>40</v>
      </c>
      <c r="D661">
        <v>17950</v>
      </c>
      <c r="E661" s="143">
        <v>92180</v>
      </c>
      <c r="F661" s="117">
        <v>1403</v>
      </c>
      <c r="G661" s="321" t="s">
        <v>296</v>
      </c>
      <c r="H661" s="144">
        <f>bargiri[[#This Row],[میزان بارگیری شده]]*bargiri[[#This Row],[فی]]</f>
        <v>1654631000</v>
      </c>
      <c r="I661" s="321">
        <f>IF(year=bargiri[[#This Row],[سال]],1,0)</f>
        <v>0</v>
      </c>
      <c r="X661" s="1"/>
      <c r="Y661" s="1"/>
      <c r="Z661" s="1"/>
    </row>
    <row r="662" spans="1:26" ht="18.600000000000001" hidden="1" x14ac:dyDescent="0.25">
      <c r="A662" s="321" t="s">
        <v>133</v>
      </c>
      <c r="B662" s="321" t="s">
        <v>107</v>
      </c>
      <c r="C662" s="318" t="s">
        <v>50</v>
      </c>
      <c r="D662">
        <v>18950</v>
      </c>
      <c r="E662" s="143">
        <v>70000</v>
      </c>
      <c r="F662" s="117">
        <v>1403</v>
      </c>
      <c r="G662" s="321" t="s">
        <v>296</v>
      </c>
      <c r="H662" s="144">
        <f>bargiri[[#This Row],[میزان بارگیری شده]]*bargiri[[#This Row],[فی]]</f>
        <v>1326500000</v>
      </c>
      <c r="I662" s="321">
        <f>IF(year=bargiri[[#This Row],[سال]],1,0)</f>
        <v>0</v>
      </c>
      <c r="X662" s="1"/>
      <c r="Y662" s="1"/>
      <c r="Z662" s="1"/>
    </row>
    <row r="663" spans="1:26" ht="18.600000000000001" hidden="1" x14ac:dyDescent="0.25">
      <c r="A663" s="321" t="s">
        <v>133</v>
      </c>
      <c r="B663" s="321" t="s">
        <v>101</v>
      </c>
      <c r="C663" s="318" t="s">
        <v>19</v>
      </c>
      <c r="D663">
        <v>20150</v>
      </c>
      <c r="E663" s="143">
        <v>75000</v>
      </c>
      <c r="F663" s="117">
        <v>1403</v>
      </c>
      <c r="G663" s="321" t="s">
        <v>296</v>
      </c>
      <c r="H663" s="144">
        <f>bargiri[[#This Row],[میزان بارگیری شده]]*bargiri[[#This Row],[فی]]</f>
        <v>1511250000</v>
      </c>
      <c r="I663" s="321">
        <f>IF(year=bargiri[[#This Row],[سال]],1,0)</f>
        <v>0</v>
      </c>
      <c r="X663" s="1"/>
      <c r="Y663" s="1"/>
      <c r="Z663" s="1"/>
    </row>
    <row r="664" spans="1:26" ht="18.600000000000001" hidden="1" x14ac:dyDescent="0.25">
      <c r="A664" s="321" t="s">
        <v>133</v>
      </c>
      <c r="B664" s="321" t="s">
        <v>117</v>
      </c>
      <c r="C664" s="318" t="s">
        <v>79</v>
      </c>
      <c r="D664">
        <v>20025</v>
      </c>
      <c r="E664" s="143">
        <v>75000</v>
      </c>
      <c r="F664" s="117">
        <v>1403</v>
      </c>
      <c r="G664" s="321" t="s">
        <v>296</v>
      </c>
      <c r="H664" s="144">
        <f>bargiri[[#This Row],[میزان بارگیری شده]]*bargiri[[#This Row],[فی]]</f>
        <v>1501875000</v>
      </c>
      <c r="I664" s="321">
        <f>IF(year=bargiri[[#This Row],[سال]],1,0)</f>
        <v>0</v>
      </c>
      <c r="X664" s="1"/>
      <c r="Y664" s="1"/>
      <c r="Z664" s="1"/>
    </row>
    <row r="665" spans="1:26" ht="18.600000000000001" hidden="1" x14ac:dyDescent="0.25">
      <c r="A665" s="321" t="s">
        <v>133</v>
      </c>
      <c r="B665" s="321" t="s">
        <v>120</v>
      </c>
      <c r="C665" s="318" t="s">
        <v>88</v>
      </c>
      <c r="D665">
        <v>5065</v>
      </c>
      <c r="E665" s="143">
        <v>80000</v>
      </c>
      <c r="F665" s="117">
        <v>1403</v>
      </c>
      <c r="G665" s="321" t="s">
        <v>296</v>
      </c>
      <c r="H665" s="144">
        <f>bargiri[[#This Row],[میزان بارگیری شده]]*bargiri[[#This Row],[فی]]</f>
        <v>405200000</v>
      </c>
      <c r="I665" s="321">
        <f>IF(year=bargiri[[#This Row],[سال]],1,0)</f>
        <v>0</v>
      </c>
      <c r="X665" s="1"/>
      <c r="Y665" s="1"/>
      <c r="Z665" s="1"/>
    </row>
    <row r="666" spans="1:26" ht="18.600000000000001" hidden="1" x14ac:dyDescent="0.25">
      <c r="A666" s="321" t="s">
        <v>133</v>
      </c>
      <c r="B666" s="321" t="s">
        <v>106</v>
      </c>
      <c r="C666" s="318" t="s">
        <v>45</v>
      </c>
      <c r="D666">
        <v>20100</v>
      </c>
      <c r="E666" s="143">
        <v>80000</v>
      </c>
      <c r="F666" s="117">
        <v>1403</v>
      </c>
      <c r="G666" s="321" t="s">
        <v>296</v>
      </c>
      <c r="H666" s="144">
        <f>bargiri[[#This Row],[میزان بارگیری شده]]*bargiri[[#This Row],[فی]]</f>
        <v>1608000000</v>
      </c>
      <c r="I666" s="321">
        <f>IF(year=bargiri[[#This Row],[سال]],1,0)</f>
        <v>0</v>
      </c>
      <c r="X666" s="1"/>
      <c r="Y666" s="1"/>
      <c r="Z666" s="1"/>
    </row>
    <row r="667" spans="1:26" ht="18.600000000000001" hidden="1" x14ac:dyDescent="0.25">
      <c r="A667" s="321" t="s">
        <v>171</v>
      </c>
      <c r="B667" s="321" t="s">
        <v>117</v>
      </c>
      <c r="C667" s="318" t="s">
        <v>79</v>
      </c>
      <c r="D667">
        <v>19990</v>
      </c>
      <c r="E667" s="143">
        <v>75000</v>
      </c>
      <c r="F667" s="117">
        <v>1403</v>
      </c>
      <c r="G667" s="321" t="s">
        <v>296</v>
      </c>
      <c r="H667" s="144">
        <f>bargiri[[#This Row],[میزان بارگیری شده]]*bargiri[[#This Row],[فی]]</f>
        <v>1499250000</v>
      </c>
      <c r="I667" s="321">
        <f>IF(year=bargiri[[#This Row],[سال]],1,0)</f>
        <v>0</v>
      </c>
      <c r="X667" s="1"/>
      <c r="Y667" s="1"/>
      <c r="Z667" s="1"/>
    </row>
    <row r="668" spans="1:26" ht="18.600000000000001" hidden="1" x14ac:dyDescent="0.25">
      <c r="A668" s="321" t="s">
        <v>353</v>
      </c>
      <c r="B668" s="321" t="s">
        <v>110</v>
      </c>
      <c r="C668" s="318" t="s">
        <v>57</v>
      </c>
      <c r="D668">
        <v>9910</v>
      </c>
      <c r="E668" s="143">
        <v>78000</v>
      </c>
      <c r="F668" s="117">
        <v>1403</v>
      </c>
      <c r="G668" s="321" t="s">
        <v>296</v>
      </c>
      <c r="H668" s="144">
        <f>bargiri[[#This Row],[میزان بارگیری شده]]*bargiri[[#This Row],[فی]]</f>
        <v>772980000</v>
      </c>
      <c r="I668" s="321">
        <f>IF(year=bargiri[[#This Row],[سال]],1,0)</f>
        <v>0</v>
      </c>
      <c r="X668" s="1"/>
      <c r="Y668" s="1"/>
      <c r="Z668" s="1"/>
    </row>
    <row r="669" spans="1:26" ht="18.600000000000001" hidden="1" x14ac:dyDescent="0.25">
      <c r="A669" s="321" t="s">
        <v>354</v>
      </c>
      <c r="B669" s="321" t="s">
        <v>103</v>
      </c>
      <c r="C669" s="318" t="s">
        <v>29</v>
      </c>
      <c r="D669">
        <v>7355</v>
      </c>
      <c r="E669" s="143">
        <v>75000</v>
      </c>
      <c r="F669" s="117">
        <v>1403</v>
      </c>
      <c r="G669" s="321" t="s">
        <v>296</v>
      </c>
      <c r="H669" s="144">
        <f>bargiri[[#This Row],[میزان بارگیری شده]]*bargiri[[#This Row],[فی]]</f>
        <v>551625000</v>
      </c>
      <c r="I669" s="321">
        <f>IF(year=bargiri[[#This Row],[سال]],1,0)</f>
        <v>0</v>
      </c>
      <c r="X669" s="1"/>
      <c r="Y669" s="1"/>
      <c r="Z669" s="1"/>
    </row>
    <row r="670" spans="1:26" ht="18.600000000000001" hidden="1" x14ac:dyDescent="0.25">
      <c r="A670" s="321" t="s">
        <v>354</v>
      </c>
      <c r="B670" s="321" t="s">
        <v>103</v>
      </c>
      <c r="C670" s="318" t="s">
        <v>29</v>
      </c>
      <c r="D670">
        <v>7310</v>
      </c>
      <c r="E670" s="143">
        <v>75000</v>
      </c>
      <c r="F670" s="117">
        <v>1403</v>
      </c>
      <c r="G670" s="321" t="s">
        <v>296</v>
      </c>
      <c r="H670" s="144">
        <f>bargiri[[#This Row],[میزان بارگیری شده]]*bargiri[[#This Row],[فی]]</f>
        <v>548250000</v>
      </c>
      <c r="I670" s="321">
        <f>IF(year=bargiri[[#This Row],[سال]],1,0)</f>
        <v>0</v>
      </c>
      <c r="X670" s="1"/>
      <c r="Y670" s="1"/>
      <c r="Z670" s="1"/>
    </row>
    <row r="671" spans="1:26" ht="18.600000000000001" hidden="1" x14ac:dyDescent="0.25">
      <c r="A671" s="321" t="s">
        <v>354</v>
      </c>
      <c r="B671" s="321" t="s">
        <v>98</v>
      </c>
      <c r="C671" s="318" t="s">
        <v>8</v>
      </c>
      <c r="D671">
        <v>22275</v>
      </c>
      <c r="E671" s="143">
        <v>72000</v>
      </c>
      <c r="F671" s="117">
        <v>1403</v>
      </c>
      <c r="G671" s="321" t="s">
        <v>296</v>
      </c>
      <c r="H671" s="144">
        <f>bargiri[[#This Row],[میزان بارگیری شده]]*bargiri[[#This Row],[فی]]</f>
        <v>1603800000</v>
      </c>
      <c r="I671" s="321">
        <f>IF(year=bargiri[[#This Row],[سال]],1,0)</f>
        <v>0</v>
      </c>
      <c r="X671" s="1"/>
      <c r="Y671" s="1"/>
      <c r="Z671" s="1"/>
    </row>
    <row r="672" spans="1:26" ht="18.600000000000001" hidden="1" x14ac:dyDescent="0.25">
      <c r="A672" s="321" t="s">
        <v>195</v>
      </c>
      <c r="B672" s="321" t="s">
        <v>102</v>
      </c>
      <c r="C672" s="318" t="s">
        <v>25</v>
      </c>
      <c r="D672">
        <v>3990</v>
      </c>
      <c r="E672" s="143">
        <v>65000</v>
      </c>
      <c r="F672" s="117">
        <v>1403</v>
      </c>
      <c r="G672" s="321" t="s">
        <v>296</v>
      </c>
      <c r="H672" s="144">
        <f>bargiri[[#This Row],[میزان بارگیری شده]]*bargiri[[#This Row],[فی]]</f>
        <v>259350000</v>
      </c>
      <c r="I672" s="321">
        <f>IF(year=bargiri[[#This Row],[سال]],1,0)</f>
        <v>0</v>
      </c>
      <c r="X672" s="1"/>
      <c r="Y672" s="1"/>
      <c r="Z672" s="1"/>
    </row>
    <row r="673" spans="1:26" ht="18.600000000000001" hidden="1" x14ac:dyDescent="0.25">
      <c r="A673" s="321" t="s">
        <v>195</v>
      </c>
      <c r="B673" s="321" t="s">
        <v>102</v>
      </c>
      <c r="C673" s="318" t="s">
        <v>24</v>
      </c>
      <c r="D673">
        <v>8095</v>
      </c>
      <c r="E673" s="143">
        <v>70000</v>
      </c>
      <c r="F673" s="117">
        <v>1403</v>
      </c>
      <c r="G673" s="321" t="s">
        <v>296</v>
      </c>
      <c r="H673" s="144">
        <f>bargiri[[#This Row],[میزان بارگیری شده]]*bargiri[[#This Row],[فی]]</f>
        <v>566650000</v>
      </c>
      <c r="I673" s="321">
        <f>IF(year=bargiri[[#This Row],[سال]],1,0)</f>
        <v>0</v>
      </c>
      <c r="X673" s="1"/>
      <c r="Y673" s="1"/>
      <c r="Z673" s="1"/>
    </row>
    <row r="674" spans="1:26" ht="18.600000000000001" hidden="1" x14ac:dyDescent="0.25">
      <c r="A674" s="321" t="s">
        <v>355</v>
      </c>
      <c r="B674" s="321" t="s">
        <v>116</v>
      </c>
      <c r="C674" s="318" t="s">
        <v>72</v>
      </c>
      <c r="D674">
        <v>18450</v>
      </c>
      <c r="E674" s="143">
        <v>65000</v>
      </c>
      <c r="F674" s="117">
        <v>1403</v>
      </c>
      <c r="G674" s="321" t="s">
        <v>296</v>
      </c>
      <c r="H674" s="144">
        <f>bargiri[[#This Row],[میزان بارگیری شده]]*bargiri[[#This Row],[فی]]</f>
        <v>1199250000</v>
      </c>
      <c r="I674" s="321">
        <f>IF(year=bargiri[[#This Row],[سال]],1,0)</f>
        <v>0</v>
      </c>
      <c r="X674" s="1"/>
      <c r="Y674" s="1"/>
      <c r="Z674" s="1"/>
    </row>
    <row r="675" spans="1:26" ht="18.600000000000001" hidden="1" x14ac:dyDescent="0.25">
      <c r="A675" s="321" t="s">
        <v>355</v>
      </c>
      <c r="B675" s="321" t="s">
        <v>101</v>
      </c>
      <c r="C675" s="318" t="s">
        <v>19</v>
      </c>
      <c r="D675">
        <v>20150</v>
      </c>
      <c r="E675" s="143">
        <v>75000</v>
      </c>
      <c r="F675" s="117">
        <v>1403</v>
      </c>
      <c r="G675" s="321" t="s">
        <v>296</v>
      </c>
      <c r="H675" s="144">
        <f>bargiri[[#This Row],[میزان بارگیری شده]]*bargiri[[#This Row],[فی]]</f>
        <v>1511250000</v>
      </c>
      <c r="I675" s="321">
        <f>IF(year=bargiri[[#This Row],[سال]],1,0)</f>
        <v>0</v>
      </c>
      <c r="X675" s="1"/>
      <c r="Y675" s="1"/>
      <c r="Z675" s="1"/>
    </row>
    <row r="676" spans="1:26" ht="18.600000000000001" hidden="1" x14ac:dyDescent="0.25">
      <c r="A676" s="321" t="s">
        <v>355</v>
      </c>
      <c r="B676" s="321" t="s">
        <v>113</v>
      </c>
      <c r="C676" s="318" t="s">
        <v>61</v>
      </c>
      <c r="D676">
        <v>18790</v>
      </c>
      <c r="E676" s="143">
        <v>75000</v>
      </c>
      <c r="F676" s="117">
        <v>1403</v>
      </c>
      <c r="G676" s="321" t="s">
        <v>296</v>
      </c>
      <c r="H676" s="144">
        <f>bargiri[[#This Row],[میزان بارگیری شده]]*bargiri[[#This Row],[فی]]</f>
        <v>1409250000</v>
      </c>
      <c r="I676" s="321">
        <f>IF(year=bargiri[[#This Row],[سال]],1,0)</f>
        <v>0</v>
      </c>
      <c r="X676" s="1"/>
      <c r="Y676" s="1"/>
      <c r="Z676" s="1"/>
    </row>
    <row r="677" spans="1:26" ht="18.600000000000001" hidden="1" x14ac:dyDescent="0.25">
      <c r="A677" s="321" t="s">
        <v>355</v>
      </c>
      <c r="B677" s="321" t="s">
        <v>107</v>
      </c>
      <c r="C677" s="318" t="s">
        <v>50</v>
      </c>
      <c r="D677">
        <v>19020</v>
      </c>
      <c r="E677" s="143">
        <v>70000</v>
      </c>
      <c r="F677" s="117">
        <v>1403</v>
      </c>
      <c r="G677" s="321" t="s">
        <v>296</v>
      </c>
      <c r="H677" s="144">
        <f>bargiri[[#This Row],[میزان بارگیری شده]]*bargiri[[#This Row],[فی]]</f>
        <v>1331400000</v>
      </c>
      <c r="I677" s="321">
        <f>IF(year=bargiri[[#This Row],[سال]],1,0)</f>
        <v>0</v>
      </c>
      <c r="X677" s="1"/>
      <c r="Y677" s="1"/>
      <c r="Z677" s="1"/>
    </row>
    <row r="678" spans="1:26" ht="18.600000000000001" hidden="1" x14ac:dyDescent="0.25">
      <c r="A678" s="321" t="s">
        <v>171</v>
      </c>
      <c r="B678" s="321" t="s">
        <v>106</v>
      </c>
      <c r="C678" s="318" t="s">
        <v>45</v>
      </c>
      <c r="D678">
        <v>21940</v>
      </c>
      <c r="E678" s="143">
        <v>80000</v>
      </c>
      <c r="F678" s="117">
        <v>1403</v>
      </c>
      <c r="G678" s="321" t="s">
        <v>296</v>
      </c>
      <c r="H678" s="144">
        <f>bargiri[[#This Row],[میزان بارگیری شده]]*bargiri[[#This Row],[فی]]</f>
        <v>1755200000</v>
      </c>
      <c r="I678" s="321">
        <f>IF(year=bargiri[[#This Row],[سال]],1,0)</f>
        <v>0</v>
      </c>
      <c r="X678" s="1"/>
      <c r="Y678" s="1"/>
      <c r="Z678" s="1"/>
    </row>
    <row r="679" spans="1:26" ht="18.600000000000001" hidden="1" x14ac:dyDescent="0.25">
      <c r="A679" s="321" t="s">
        <v>171</v>
      </c>
      <c r="B679" s="321" t="s">
        <v>123</v>
      </c>
      <c r="C679" s="318" t="s">
        <v>93</v>
      </c>
      <c r="D679">
        <v>7760</v>
      </c>
      <c r="E679" s="143">
        <v>75000</v>
      </c>
      <c r="F679" s="117">
        <v>1403</v>
      </c>
      <c r="G679" s="321" t="s">
        <v>296</v>
      </c>
      <c r="H679" s="144">
        <f>bargiri[[#This Row],[میزان بارگیری شده]]*bargiri[[#This Row],[فی]]</f>
        <v>582000000</v>
      </c>
      <c r="I679" s="321">
        <f>IF(year=bargiri[[#This Row],[سال]],1,0)</f>
        <v>0</v>
      </c>
      <c r="X679" s="1"/>
      <c r="Y679" s="1"/>
      <c r="Z679" s="1"/>
    </row>
    <row r="680" spans="1:26" ht="18.600000000000001" hidden="1" x14ac:dyDescent="0.25">
      <c r="A680" s="321" t="s">
        <v>171</v>
      </c>
      <c r="B680" s="321" t="s">
        <v>114</v>
      </c>
      <c r="C680" s="318" t="s">
        <v>63</v>
      </c>
      <c r="D680">
        <v>22105</v>
      </c>
      <c r="E680" s="143">
        <v>75000</v>
      </c>
      <c r="F680" s="117">
        <v>1403</v>
      </c>
      <c r="G680" s="321" t="s">
        <v>296</v>
      </c>
      <c r="H680" s="144">
        <f>bargiri[[#This Row],[میزان بارگیری شده]]*bargiri[[#This Row],[فی]]</f>
        <v>1657875000</v>
      </c>
      <c r="I680" s="321">
        <f>IF(year=bargiri[[#This Row],[سال]],1,0)</f>
        <v>0</v>
      </c>
      <c r="X680" s="1"/>
      <c r="Y680" s="1"/>
      <c r="Z680" s="1"/>
    </row>
    <row r="681" spans="1:26" ht="18.600000000000001" hidden="1" x14ac:dyDescent="0.25">
      <c r="A681" s="321" t="s">
        <v>171</v>
      </c>
      <c r="B681" s="321" t="s">
        <v>120</v>
      </c>
      <c r="C681" s="318" t="s">
        <v>88</v>
      </c>
      <c r="D681">
        <v>9140</v>
      </c>
      <c r="E681" s="143">
        <v>80000</v>
      </c>
      <c r="F681" s="117">
        <v>1403</v>
      </c>
      <c r="G681" s="321" t="s">
        <v>296</v>
      </c>
      <c r="H681" s="144">
        <f>bargiri[[#This Row],[میزان بارگیری شده]]*bargiri[[#This Row],[فی]]</f>
        <v>731200000</v>
      </c>
      <c r="I681" s="321">
        <f>IF(year=bargiri[[#This Row],[سال]],1,0)</f>
        <v>0</v>
      </c>
      <c r="X681" s="1"/>
      <c r="Y681" s="1"/>
      <c r="Z681" s="1"/>
    </row>
    <row r="682" spans="1:26" ht="18.600000000000001" x14ac:dyDescent="0.25">
      <c r="A682" s="321" t="s">
        <v>171</v>
      </c>
      <c r="B682" s="321" t="s">
        <v>118</v>
      </c>
      <c r="C682" s="318" t="s">
        <v>84</v>
      </c>
      <c r="D682">
        <v>20825</v>
      </c>
      <c r="E682" s="143">
        <v>57273</v>
      </c>
      <c r="F682" s="117">
        <v>1403</v>
      </c>
      <c r="G682" s="321" t="s">
        <v>296</v>
      </c>
      <c r="H682" s="144">
        <f>bargiri[[#This Row],[میزان بارگیری شده]]*bargiri[[#This Row],[فی]]</f>
        <v>1192710225</v>
      </c>
      <c r="I682" s="321">
        <f>IF(year=bargiri[[#This Row],[سال]],1,0)</f>
        <v>0</v>
      </c>
      <c r="X682" s="1"/>
      <c r="Y682" s="1"/>
      <c r="Z682" s="1"/>
    </row>
    <row r="683" spans="1:26" ht="18.600000000000001" x14ac:dyDescent="0.25">
      <c r="A683" s="321" t="s">
        <v>171</v>
      </c>
      <c r="B683" s="321" t="s">
        <v>118</v>
      </c>
      <c r="C683" s="318" t="s">
        <v>84</v>
      </c>
      <c r="D683">
        <v>20640</v>
      </c>
      <c r="E683" s="143">
        <v>57273</v>
      </c>
      <c r="F683" s="117">
        <v>1403</v>
      </c>
      <c r="G683" s="321" t="s">
        <v>296</v>
      </c>
      <c r="H683" s="144">
        <f>bargiri[[#This Row],[میزان بارگیری شده]]*bargiri[[#This Row],[فی]]</f>
        <v>1182114720</v>
      </c>
      <c r="I683" s="321">
        <f>IF(year=bargiri[[#This Row],[سال]],1,0)</f>
        <v>0</v>
      </c>
      <c r="X683" s="1"/>
      <c r="Y683" s="1"/>
      <c r="Z683" s="1"/>
    </row>
    <row r="684" spans="1:26" ht="18.600000000000001" x14ac:dyDescent="0.25">
      <c r="A684" s="321" t="s">
        <v>171</v>
      </c>
      <c r="B684" s="321" t="s">
        <v>118</v>
      </c>
      <c r="C684" s="318" t="s">
        <v>84</v>
      </c>
      <c r="D684">
        <v>20930</v>
      </c>
      <c r="E684" s="143">
        <v>57273</v>
      </c>
      <c r="F684" s="117">
        <v>1403</v>
      </c>
      <c r="G684" s="321" t="s">
        <v>296</v>
      </c>
      <c r="H684" s="144">
        <f>bargiri[[#This Row],[میزان بارگیری شده]]*bargiri[[#This Row],[فی]]</f>
        <v>1198723890</v>
      </c>
      <c r="I684" s="321">
        <f>IF(year=bargiri[[#This Row],[سال]],1,0)</f>
        <v>0</v>
      </c>
      <c r="X684" s="1"/>
      <c r="Y684" s="1"/>
      <c r="Z684" s="1"/>
    </row>
    <row r="685" spans="1:26" ht="18.600000000000001" hidden="1" x14ac:dyDescent="0.25">
      <c r="A685" s="321" t="s">
        <v>355</v>
      </c>
      <c r="B685" s="321" t="s">
        <v>110</v>
      </c>
      <c r="C685" s="318" t="s">
        <v>57</v>
      </c>
      <c r="D685">
        <v>10010</v>
      </c>
      <c r="E685" s="143">
        <v>78000</v>
      </c>
      <c r="F685" s="117">
        <v>1403</v>
      </c>
      <c r="G685" s="321" t="s">
        <v>296</v>
      </c>
      <c r="H685" s="144">
        <f>bargiri[[#This Row],[میزان بارگیری شده]]*bargiri[[#This Row],[فی]]</f>
        <v>780780000</v>
      </c>
      <c r="I685" s="321">
        <f>IF(year=bargiri[[#This Row],[سال]],1,0)</f>
        <v>0</v>
      </c>
      <c r="X685" s="1"/>
      <c r="Y685" s="1"/>
      <c r="Z685" s="1"/>
    </row>
    <row r="686" spans="1:26" ht="18.600000000000001" hidden="1" x14ac:dyDescent="0.25">
      <c r="A686" s="321" t="s">
        <v>217</v>
      </c>
      <c r="B686" s="321" t="s">
        <v>101</v>
      </c>
      <c r="C686" s="318" t="s">
        <v>19</v>
      </c>
      <c r="D686">
        <v>20015</v>
      </c>
      <c r="E686" s="143">
        <v>75000</v>
      </c>
      <c r="F686" s="117">
        <v>1403</v>
      </c>
      <c r="G686" s="321" t="s">
        <v>297</v>
      </c>
      <c r="H686" s="144">
        <f>bargiri[[#This Row],[میزان بارگیری شده]]*bargiri[[#This Row],[فی]]</f>
        <v>1501125000</v>
      </c>
      <c r="I686" s="321">
        <f>IF(year=bargiri[[#This Row],[سال]],1,0)</f>
        <v>0</v>
      </c>
      <c r="X686" s="1"/>
      <c r="Y686" s="1"/>
      <c r="Z686" s="1"/>
    </row>
    <row r="687" spans="1:26" ht="18.600000000000001" hidden="1" x14ac:dyDescent="0.25">
      <c r="A687" s="321" t="s">
        <v>356</v>
      </c>
      <c r="B687" s="321" t="s">
        <v>101</v>
      </c>
      <c r="C687" s="318" t="s">
        <v>17</v>
      </c>
      <c r="D687">
        <v>14030</v>
      </c>
      <c r="E687" s="143">
        <v>65000</v>
      </c>
      <c r="F687" s="117">
        <v>1403</v>
      </c>
      <c r="G687" s="321" t="s">
        <v>297</v>
      </c>
      <c r="H687" s="144">
        <f>bargiri[[#This Row],[میزان بارگیری شده]]*bargiri[[#This Row],[فی]]</f>
        <v>911950000</v>
      </c>
      <c r="I687" s="321">
        <f>IF(year=bargiri[[#This Row],[سال]],1,0)</f>
        <v>0</v>
      </c>
      <c r="X687" s="1"/>
      <c r="Y687" s="1"/>
      <c r="Z687" s="1"/>
    </row>
    <row r="688" spans="1:26" ht="18.600000000000001" hidden="1" x14ac:dyDescent="0.25">
      <c r="A688" s="321" t="s">
        <v>356</v>
      </c>
      <c r="B688" s="321" t="s">
        <v>101</v>
      </c>
      <c r="C688" s="318" t="s">
        <v>19</v>
      </c>
      <c r="D688">
        <v>5060</v>
      </c>
      <c r="E688" s="143">
        <v>75000</v>
      </c>
      <c r="F688" s="117">
        <v>1403</v>
      </c>
      <c r="G688" s="321" t="s">
        <v>297</v>
      </c>
      <c r="H688" s="144">
        <f>bargiri[[#This Row],[میزان بارگیری شده]]*bargiri[[#This Row],[فی]]</f>
        <v>379500000</v>
      </c>
      <c r="I688" s="321">
        <f>IF(year=bargiri[[#This Row],[سال]],1,0)</f>
        <v>0</v>
      </c>
      <c r="X688" s="1"/>
      <c r="Y688" s="1"/>
      <c r="Z688" s="1"/>
    </row>
    <row r="689" spans="1:26" ht="18.600000000000001" hidden="1" x14ac:dyDescent="0.25">
      <c r="A689" s="321" t="s">
        <v>191</v>
      </c>
      <c r="B689" s="321" t="s">
        <v>101</v>
      </c>
      <c r="C689" s="318" t="s">
        <v>17</v>
      </c>
      <c r="D689">
        <v>10095</v>
      </c>
      <c r="E689" s="143">
        <v>65000</v>
      </c>
      <c r="F689" s="117">
        <v>1403</v>
      </c>
      <c r="G689" s="321" t="s">
        <v>297</v>
      </c>
      <c r="H689" s="144">
        <f>bargiri[[#This Row],[میزان بارگیری شده]]*bargiri[[#This Row],[فی]]</f>
        <v>656175000</v>
      </c>
      <c r="I689" s="321">
        <f>IF(year=bargiri[[#This Row],[سال]],1,0)</f>
        <v>0</v>
      </c>
      <c r="X689" s="1"/>
      <c r="Y689" s="1"/>
      <c r="Z689" s="1"/>
    </row>
    <row r="690" spans="1:26" ht="18.600000000000001" x14ac:dyDescent="0.25">
      <c r="A690" s="321" t="s">
        <v>357</v>
      </c>
      <c r="B690" s="321" t="s">
        <v>118</v>
      </c>
      <c r="C690" s="318" t="s">
        <v>84</v>
      </c>
      <c r="D690">
        <v>20550</v>
      </c>
      <c r="E690" s="143">
        <v>57273</v>
      </c>
      <c r="F690" s="117">
        <v>1403</v>
      </c>
      <c r="G690" s="321" t="s">
        <v>297</v>
      </c>
      <c r="H690" s="144">
        <f>bargiri[[#This Row],[میزان بارگیری شده]]*bargiri[[#This Row],[فی]]</f>
        <v>1176960150</v>
      </c>
      <c r="I690" s="321">
        <f>IF(year=bargiri[[#This Row],[سال]],1,0)</f>
        <v>0</v>
      </c>
      <c r="X690" s="1"/>
      <c r="Y690" s="1"/>
      <c r="Z690" s="1"/>
    </row>
    <row r="691" spans="1:26" ht="18.600000000000001" x14ac:dyDescent="0.25">
      <c r="A691" s="321" t="s">
        <v>357</v>
      </c>
      <c r="B691" s="321" t="s">
        <v>118</v>
      </c>
      <c r="C691" s="318" t="s">
        <v>84</v>
      </c>
      <c r="D691">
        <v>20525</v>
      </c>
      <c r="E691" s="143">
        <v>57273</v>
      </c>
      <c r="F691" s="117">
        <v>1403</v>
      </c>
      <c r="G691" s="321" t="s">
        <v>297</v>
      </c>
      <c r="H691" s="144">
        <f>bargiri[[#This Row],[میزان بارگیری شده]]*bargiri[[#This Row],[فی]]</f>
        <v>1175528325</v>
      </c>
      <c r="I691" s="321">
        <f>IF(year=bargiri[[#This Row],[سال]],1,0)</f>
        <v>0</v>
      </c>
      <c r="X691" s="1"/>
      <c r="Y691" s="1"/>
      <c r="Z691" s="1"/>
    </row>
    <row r="692" spans="1:26" ht="18.600000000000001" hidden="1" x14ac:dyDescent="0.25">
      <c r="A692" s="321" t="s">
        <v>357</v>
      </c>
      <c r="B692" s="321" t="s">
        <v>116</v>
      </c>
      <c r="C692" s="318" t="s">
        <v>72</v>
      </c>
      <c r="D692">
        <v>20020</v>
      </c>
      <c r="E692" s="143">
        <v>65000</v>
      </c>
      <c r="F692" s="117">
        <v>1403</v>
      </c>
      <c r="G692" s="321" t="s">
        <v>297</v>
      </c>
      <c r="H692" s="144">
        <f>bargiri[[#This Row],[میزان بارگیری شده]]*bargiri[[#This Row],[فی]]</f>
        <v>1301300000</v>
      </c>
      <c r="I692" s="321">
        <f>IF(year=bargiri[[#This Row],[سال]],1,0)</f>
        <v>0</v>
      </c>
      <c r="X692" s="1"/>
      <c r="Y692" s="1"/>
      <c r="Z692" s="1"/>
    </row>
    <row r="693" spans="1:26" ht="18.600000000000001" hidden="1" x14ac:dyDescent="0.25">
      <c r="A693" s="321" t="s">
        <v>357</v>
      </c>
      <c r="B693" s="321" t="s">
        <v>107</v>
      </c>
      <c r="C693" s="318" t="s">
        <v>50</v>
      </c>
      <c r="D693">
        <v>19050</v>
      </c>
      <c r="E693" s="143">
        <v>70000</v>
      </c>
      <c r="F693" s="117">
        <v>1403</v>
      </c>
      <c r="G693" s="321" t="s">
        <v>297</v>
      </c>
      <c r="H693" s="144">
        <f>bargiri[[#This Row],[میزان بارگیری شده]]*bargiri[[#This Row],[فی]]</f>
        <v>1333500000</v>
      </c>
      <c r="I693" s="321">
        <f>IF(year=bargiri[[#This Row],[سال]],1,0)</f>
        <v>0</v>
      </c>
      <c r="X693" s="1"/>
      <c r="Y693" s="1"/>
      <c r="Z693" s="1"/>
    </row>
    <row r="694" spans="1:26" ht="18.600000000000001" hidden="1" x14ac:dyDescent="0.25">
      <c r="A694" s="321" t="s">
        <v>357</v>
      </c>
      <c r="B694" s="321" t="s">
        <v>113</v>
      </c>
      <c r="C694" s="318" t="s">
        <v>61</v>
      </c>
      <c r="D694">
        <v>18720</v>
      </c>
      <c r="E694" s="143">
        <v>75000</v>
      </c>
      <c r="F694" s="117">
        <v>1403</v>
      </c>
      <c r="G694" s="321" t="s">
        <v>297</v>
      </c>
      <c r="H694" s="144">
        <f>bargiri[[#This Row],[میزان بارگیری شده]]*bargiri[[#This Row],[فی]]</f>
        <v>1404000000</v>
      </c>
      <c r="I694" s="321">
        <f>IF(year=bargiri[[#This Row],[سال]],1,0)</f>
        <v>0</v>
      </c>
      <c r="X694" s="1"/>
      <c r="Y694" s="1"/>
      <c r="Z694" s="1"/>
    </row>
    <row r="695" spans="1:26" ht="18.600000000000001" hidden="1" x14ac:dyDescent="0.25">
      <c r="A695" s="321" t="s">
        <v>207</v>
      </c>
      <c r="B695" s="321" t="s">
        <v>108</v>
      </c>
      <c r="C695" s="318" t="s">
        <v>53</v>
      </c>
      <c r="D695">
        <v>14125</v>
      </c>
      <c r="E695" s="143">
        <v>70000</v>
      </c>
      <c r="F695" s="117">
        <v>1403</v>
      </c>
      <c r="G695" s="321" t="s">
        <v>297</v>
      </c>
      <c r="H695" s="144">
        <f>bargiri[[#This Row],[میزان بارگیری شده]]*bargiri[[#This Row],[فی]]</f>
        <v>988750000</v>
      </c>
      <c r="I695" s="321">
        <f>IF(year=bargiri[[#This Row],[سال]],1,0)</f>
        <v>0</v>
      </c>
      <c r="X695" s="1"/>
      <c r="Y695" s="1"/>
      <c r="Z695" s="1"/>
    </row>
    <row r="696" spans="1:26" ht="18.600000000000001" hidden="1" x14ac:dyDescent="0.25">
      <c r="A696" s="321" t="s">
        <v>207</v>
      </c>
      <c r="B696" s="321" t="s">
        <v>108</v>
      </c>
      <c r="C696" s="318" t="s">
        <v>52</v>
      </c>
      <c r="D696">
        <v>6220</v>
      </c>
      <c r="E696" s="143">
        <v>90000</v>
      </c>
      <c r="F696" s="117">
        <v>1403</v>
      </c>
      <c r="G696" s="321" t="s">
        <v>297</v>
      </c>
      <c r="H696" s="144">
        <f>bargiri[[#This Row],[میزان بارگیری شده]]*bargiri[[#This Row],[فی]]</f>
        <v>559800000</v>
      </c>
      <c r="I696" s="321">
        <f>IF(year=bargiri[[#This Row],[سال]],1,0)</f>
        <v>0</v>
      </c>
      <c r="X696" s="1"/>
      <c r="Y696" s="1"/>
      <c r="Z696" s="1"/>
    </row>
    <row r="697" spans="1:26" ht="18.600000000000001" hidden="1" x14ac:dyDescent="0.25">
      <c r="A697" s="321" t="s">
        <v>207</v>
      </c>
      <c r="B697" s="321" t="s">
        <v>120</v>
      </c>
      <c r="C697" s="318" t="s">
        <v>88</v>
      </c>
      <c r="D697">
        <v>9125</v>
      </c>
      <c r="E697" s="143">
        <v>80000</v>
      </c>
      <c r="F697" s="117">
        <v>1403</v>
      </c>
      <c r="G697" s="321" t="s">
        <v>297</v>
      </c>
      <c r="H697" s="144">
        <f>bargiri[[#This Row],[میزان بارگیری شده]]*bargiri[[#This Row],[فی]]</f>
        <v>730000000</v>
      </c>
      <c r="I697" s="321">
        <f>IF(year=bargiri[[#This Row],[سال]],1,0)</f>
        <v>0</v>
      </c>
      <c r="X697" s="1"/>
      <c r="Y697" s="1"/>
      <c r="Z697" s="1"/>
    </row>
    <row r="698" spans="1:26" ht="18.600000000000001" hidden="1" x14ac:dyDescent="0.25">
      <c r="A698" s="321" t="s">
        <v>207</v>
      </c>
      <c r="B698" s="321" t="s">
        <v>102</v>
      </c>
      <c r="C698" s="318" t="s">
        <v>25</v>
      </c>
      <c r="D698">
        <v>11945</v>
      </c>
      <c r="E698" s="143">
        <v>65000</v>
      </c>
      <c r="F698" s="117">
        <v>1403</v>
      </c>
      <c r="G698" s="321" t="s">
        <v>297</v>
      </c>
      <c r="H698" s="144">
        <f>bargiri[[#This Row],[میزان بارگیری شده]]*bargiri[[#This Row],[فی]]</f>
        <v>776425000</v>
      </c>
      <c r="I698" s="321">
        <f>IF(year=bargiri[[#This Row],[سال]],1,0)</f>
        <v>0</v>
      </c>
      <c r="X698" s="1"/>
      <c r="Y698" s="1"/>
      <c r="Z698" s="1"/>
    </row>
    <row r="699" spans="1:26" ht="18.600000000000001" hidden="1" x14ac:dyDescent="0.25">
      <c r="A699" s="321" t="s">
        <v>207</v>
      </c>
      <c r="B699" s="321" t="s">
        <v>122</v>
      </c>
      <c r="C699" s="318" t="s">
        <v>91</v>
      </c>
      <c r="D699">
        <v>18050</v>
      </c>
      <c r="E699" s="143">
        <v>75000</v>
      </c>
      <c r="F699" s="117">
        <v>1403</v>
      </c>
      <c r="G699" s="321" t="s">
        <v>297</v>
      </c>
      <c r="H699" s="144">
        <f>bargiri[[#This Row],[میزان بارگیری شده]]*bargiri[[#This Row],[فی]]</f>
        <v>1353750000</v>
      </c>
      <c r="I699" s="321">
        <f>IF(year=bargiri[[#This Row],[سال]],1,0)</f>
        <v>0</v>
      </c>
      <c r="X699" s="1"/>
      <c r="Y699" s="1"/>
      <c r="Z699" s="1"/>
    </row>
    <row r="700" spans="1:26" ht="18.600000000000001" hidden="1" x14ac:dyDescent="0.25">
      <c r="A700" s="321" t="s">
        <v>207</v>
      </c>
      <c r="B700" s="321" t="s">
        <v>103</v>
      </c>
      <c r="C700" s="318" t="s">
        <v>29</v>
      </c>
      <c r="D700">
        <v>7530</v>
      </c>
      <c r="E700" s="143">
        <v>75000</v>
      </c>
      <c r="F700" s="117">
        <v>1403</v>
      </c>
      <c r="G700" s="321" t="s">
        <v>297</v>
      </c>
      <c r="H700" s="144">
        <f>bargiri[[#This Row],[میزان بارگیری شده]]*bargiri[[#This Row],[فی]]</f>
        <v>564750000</v>
      </c>
      <c r="I700" s="321">
        <f>IF(year=bargiri[[#This Row],[سال]],1,0)</f>
        <v>0</v>
      </c>
      <c r="X700" s="1"/>
      <c r="Y700" s="1"/>
      <c r="Z700" s="1"/>
    </row>
    <row r="701" spans="1:26" ht="18.600000000000001" hidden="1" x14ac:dyDescent="0.25">
      <c r="A701" s="321" t="s">
        <v>217</v>
      </c>
      <c r="B701" s="321" t="s">
        <v>103</v>
      </c>
      <c r="C701" s="318" t="s">
        <v>29</v>
      </c>
      <c r="D701">
        <v>7190</v>
      </c>
      <c r="E701" s="143">
        <v>75000</v>
      </c>
      <c r="F701" s="117">
        <v>1403</v>
      </c>
      <c r="G701" s="321" t="s">
        <v>297</v>
      </c>
      <c r="H701" s="144">
        <f>bargiri[[#This Row],[میزان بارگیری شده]]*bargiri[[#This Row],[فی]]</f>
        <v>539250000</v>
      </c>
      <c r="I701" s="321">
        <f>IF(year=bargiri[[#This Row],[سال]],1,0)</f>
        <v>0</v>
      </c>
      <c r="X701" s="1"/>
      <c r="Y701" s="1"/>
      <c r="Z701" s="1"/>
    </row>
    <row r="702" spans="1:26" ht="18.600000000000001" hidden="1" x14ac:dyDescent="0.25">
      <c r="A702" s="321" t="s">
        <v>217</v>
      </c>
      <c r="B702" s="321" t="s">
        <v>116</v>
      </c>
      <c r="C702" s="318" t="s">
        <v>73</v>
      </c>
      <c r="D702">
        <v>9950</v>
      </c>
      <c r="E702" s="143">
        <v>92180</v>
      </c>
      <c r="F702" s="117">
        <v>1403</v>
      </c>
      <c r="G702" s="321" t="s">
        <v>297</v>
      </c>
      <c r="H702" s="144">
        <f>bargiri[[#This Row],[میزان بارگیری شده]]*bargiri[[#This Row],[فی]]</f>
        <v>917191000</v>
      </c>
      <c r="I702" s="321">
        <f>IF(year=bargiri[[#This Row],[سال]],1,0)</f>
        <v>0</v>
      </c>
      <c r="X702" s="1"/>
      <c r="Y702" s="1"/>
      <c r="Z702" s="1"/>
    </row>
    <row r="703" spans="1:26" ht="18.600000000000001" hidden="1" x14ac:dyDescent="0.25">
      <c r="A703" s="321" t="s">
        <v>217</v>
      </c>
      <c r="B703" s="321" t="s">
        <v>116</v>
      </c>
      <c r="C703" s="318" t="s">
        <v>72</v>
      </c>
      <c r="D703">
        <v>10060</v>
      </c>
      <c r="E703" s="143">
        <v>65000</v>
      </c>
      <c r="F703" s="117">
        <v>1403</v>
      </c>
      <c r="G703" s="321" t="s">
        <v>297</v>
      </c>
      <c r="H703" s="144">
        <f>bargiri[[#This Row],[میزان بارگیری شده]]*bargiri[[#This Row],[فی]]</f>
        <v>653900000</v>
      </c>
      <c r="I703" s="321">
        <f>IF(year=bargiri[[#This Row],[سال]],1,0)</f>
        <v>0</v>
      </c>
      <c r="X703" s="1"/>
      <c r="Y703" s="1"/>
      <c r="Z703" s="1"/>
    </row>
    <row r="704" spans="1:26" ht="18.600000000000001" hidden="1" x14ac:dyDescent="0.25">
      <c r="A704" s="321" t="s">
        <v>217</v>
      </c>
      <c r="B704" s="321" t="s">
        <v>106</v>
      </c>
      <c r="C704" s="318" t="s">
        <v>45</v>
      </c>
      <c r="D704">
        <v>20050</v>
      </c>
      <c r="E704" s="143">
        <v>80000</v>
      </c>
      <c r="F704" s="117">
        <v>1403</v>
      </c>
      <c r="G704" s="321" t="s">
        <v>297</v>
      </c>
      <c r="H704" s="144">
        <f>bargiri[[#This Row],[میزان بارگیری شده]]*bargiri[[#This Row],[فی]]</f>
        <v>1604000000</v>
      </c>
      <c r="I704" s="321">
        <f>IF(year=bargiri[[#This Row],[سال]],1,0)</f>
        <v>0</v>
      </c>
      <c r="X704" s="1"/>
      <c r="Y704" s="1"/>
      <c r="Z704" s="1"/>
    </row>
    <row r="705" spans="1:26" ht="18.600000000000001" hidden="1" x14ac:dyDescent="0.25">
      <c r="A705" s="321" t="s">
        <v>217</v>
      </c>
      <c r="B705" s="321" t="s">
        <v>117</v>
      </c>
      <c r="C705" s="318" t="s">
        <v>79</v>
      </c>
      <c r="D705">
        <v>19955</v>
      </c>
      <c r="E705" s="143">
        <v>75000</v>
      </c>
      <c r="F705" s="117">
        <v>1403</v>
      </c>
      <c r="G705" s="321" t="s">
        <v>297</v>
      </c>
      <c r="H705" s="144">
        <f>bargiri[[#This Row],[میزان بارگیری شده]]*bargiri[[#This Row],[فی]]</f>
        <v>1496625000</v>
      </c>
      <c r="I705" s="321">
        <f>IF(year=bargiri[[#This Row],[سال]],1,0)</f>
        <v>0</v>
      </c>
      <c r="X705" s="1"/>
      <c r="Y705" s="1"/>
      <c r="Z705" s="1"/>
    </row>
    <row r="706" spans="1:26" ht="18.600000000000001" hidden="1" x14ac:dyDescent="0.25">
      <c r="A706" s="321" t="s">
        <v>217</v>
      </c>
      <c r="B706" s="321" t="s">
        <v>103</v>
      </c>
      <c r="C706" s="318" t="s">
        <v>29</v>
      </c>
      <c r="D706">
        <v>7525</v>
      </c>
      <c r="E706" s="143">
        <v>75000</v>
      </c>
      <c r="F706" s="117">
        <v>1403</v>
      </c>
      <c r="G706" s="321" t="s">
        <v>297</v>
      </c>
      <c r="H706" s="144">
        <f>bargiri[[#This Row],[میزان بارگیری شده]]*bargiri[[#This Row],[فی]]</f>
        <v>564375000</v>
      </c>
      <c r="I706" s="321">
        <f>IF(year=bargiri[[#This Row],[سال]],1,0)</f>
        <v>0</v>
      </c>
      <c r="X706" s="1"/>
      <c r="Y706" s="1"/>
      <c r="Z706" s="1"/>
    </row>
    <row r="707" spans="1:26" ht="18.600000000000001" hidden="1" x14ac:dyDescent="0.25">
      <c r="A707" s="321" t="s">
        <v>217</v>
      </c>
      <c r="B707" s="321" t="s">
        <v>107</v>
      </c>
      <c r="C707" s="318" t="s">
        <v>50</v>
      </c>
      <c r="D707">
        <v>18960</v>
      </c>
      <c r="E707" s="143">
        <v>70000</v>
      </c>
      <c r="F707" s="117">
        <v>1403</v>
      </c>
      <c r="G707" s="321" t="s">
        <v>297</v>
      </c>
      <c r="H707" s="144">
        <f>bargiri[[#This Row],[میزان بارگیری شده]]*bargiri[[#This Row],[فی]]</f>
        <v>1327200000</v>
      </c>
      <c r="I707" s="321">
        <f>IF(year=bargiri[[#This Row],[سال]],1,0)</f>
        <v>0</v>
      </c>
      <c r="X707" s="1"/>
      <c r="Y707" s="1"/>
      <c r="Z707" s="1"/>
    </row>
    <row r="708" spans="1:26" ht="18.600000000000001" hidden="1" x14ac:dyDescent="0.25">
      <c r="A708" s="321" t="s">
        <v>217</v>
      </c>
      <c r="B708" s="321" t="s">
        <v>114</v>
      </c>
      <c r="C708" s="318" t="s">
        <v>63</v>
      </c>
      <c r="D708">
        <v>22200</v>
      </c>
      <c r="E708" s="143">
        <v>75000</v>
      </c>
      <c r="F708" s="117">
        <v>1403</v>
      </c>
      <c r="G708" s="321" t="s">
        <v>297</v>
      </c>
      <c r="H708" s="144">
        <f>bargiri[[#This Row],[میزان بارگیری شده]]*bargiri[[#This Row],[فی]]</f>
        <v>1665000000</v>
      </c>
      <c r="I708" s="321">
        <f>IF(year=bargiri[[#This Row],[سال]],1,0)</f>
        <v>0</v>
      </c>
      <c r="X708" s="1"/>
      <c r="Y708" s="1"/>
      <c r="Z708" s="1"/>
    </row>
    <row r="709" spans="1:26" ht="18.600000000000001" hidden="1" x14ac:dyDescent="0.25">
      <c r="A709" s="321" t="s">
        <v>217</v>
      </c>
      <c r="B709" s="321" t="s">
        <v>111</v>
      </c>
      <c r="C709" s="318" t="s">
        <v>59</v>
      </c>
      <c r="D709">
        <v>10060</v>
      </c>
      <c r="E709" s="143">
        <v>80000</v>
      </c>
      <c r="F709" s="117">
        <v>1403</v>
      </c>
      <c r="G709" s="321" t="s">
        <v>297</v>
      </c>
      <c r="H709" s="144">
        <f>bargiri[[#This Row],[میزان بارگیری شده]]*bargiri[[#This Row],[فی]]</f>
        <v>804800000</v>
      </c>
      <c r="I709" s="321">
        <f>IF(year=bargiri[[#This Row],[سال]],1,0)</f>
        <v>0</v>
      </c>
      <c r="X709" s="1"/>
      <c r="Y709" s="1"/>
      <c r="Z709" s="1"/>
    </row>
    <row r="710" spans="1:26" ht="18.600000000000001" hidden="1" x14ac:dyDescent="0.25">
      <c r="A710" s="321" t="s">
        <v>358</v>
      </c>
      <c r="B710" s="321" t="s">
        <v>110</v>
      </c>
      <c r="C710" s="318" t="s">
        <v>57</v>
      </c>
      <c r="D710">
        <v>17935</v>
      </c>
      <c r="E710" s="143">
        <v>78000</v>
      </c>
      <c r="F710" s="117">
        <v>1403</v>
      </c>
      <c r="G710" s="321" t="s">
        <v>297</v>
      </c>
      <c r="H710" s="144">
        <f>bargiri[[#This Row],[میزان بارگیری شده]]*bargiri[[#This Row],[فی]]</f>
        <v>1398930000</v>
      </c>
      <c r="I710" s="321">
        <f>IF(year=bargiri[[#This Row],[سال]],1,0)</f>
        <v>0</v>
      </c>
      <c r="X710" s="1"/>
      <c r="Y710" s="1"/>
      <c r="Z710" s="1"/>
    </row>
    <row r="711" spans="1:26" ht="18.600000000000001" hidden="1" x14ac:dyDescent="0.25">
      <c r="A711" s="321" t="s">
        <v>358</v>
      </c>
      <c r="B711" s="321" t="s">
        <v>122</v>
      </c>
      <c r="C711" s="318" t="s">
        <v>91</v>
      </c>
      <c r="D711">
        <v>22095</v>
      </c>
      <c r="E711" s="143">
        <v>75000</v>
      </c>
      <c r="F711" s="117">
        <v>1403</v>
      </c>
      <c r="G711" s="321" t="s">
        <v>297</v>
      </c>
      <c r="H711" s="144">
        <f>bargiri[[#This Row],[میزان بارگیری شده]]*bargiri[[#This Row],[فی]]</f>
        <v>1657125000</v>
      </c>
      <c r="I711" s="321">
        <f>IF(year=bargiri[[#This Row],[سال]],1,0)</f>
        <v>0</v>
      </c>
      <c r="X711" s="1"/>
      <c r="Y711" s="1"/>
      <c r="Z711" s="1"/>
    </row>
    <row r="712" spans="1:26" ht="18.600000000000001" x14ac:dyDescent="0.25">
      <c r="A712" s="321" t="s">
        <v>356</v>
      </c>
      <c r="B712" s="321" t="s">
        <v>118</v>
      </c>
      <c r="C712" s="318" t="s">
        <v>84</v>
      </c>
      <c r="D712">
        <v>20865</v>
      </c>
      <c r="E712" s="143">
        <v>57273</v>
      </c>
      <c r="F712" s="117">
        <v>1403</v>
      </c>
      <c r="G712" s="321" t="s">
        <v>297</v>
      </c>
      <c r="H712" s="144">
        <f>bargiri[[#This Row],[میزان بارگیری شده]]*bargiri[[#This Row],[فی]]</f>
        <v>1195001145</v>
      </c>
      <c r="I712" s="321">
        <f>IF(year=bargiri[[#This Row],[سال]],1,0)</f>
        <v>0</v>
      </c>
      <c r="X712" s="1"/>
      <c r="Y712" s="1"/>
      <c r="Z712" s="1"/>
    </row>
    <row r="713" spans="1:26" ht="18.600000000000001" x14ac:dyDescent="0.25">
      <c r="A713" s="321" t="s">
        <v>356</v>
      </c>
      <c r="B713" s="321" t="s">
        <v>118</v>
      </c>
      <c r="C713" s="318" t="s">
        <v>84</v>
      </c>
      <c r="D713">
        <v>20735</v>
      </c>
      <c r="E713" s="143">
        <v>57273</v>
      </c>
      <c r="F713" s="117">
        <v>1403</v>
      </c>
      <c r="G713" s="321" t="s">
        <v>297</v>
      </c>
      <c r="H713" s="144">
        <f>bargiri[[#This Row],[میزان بارگیری شده]]*bargiri[[#This Row],[فی]]</f>
        <v>1187555655</v>
      </c>
      <c r="I713" s="321">
        <f>IF(year=bargiri[[#This Row],[سال]],1,0)</f>
        <v>0</v>
      </c>
      <c r="X713" s="1"/>
      <c r="Y713" s="1"/>
      <c r="Z713" s="1"/>
    </row>
    <row r="714" spans="1:26" ht="18.600000000000001" hidden="1" x14ac:dyDescent="0.25">
      <c r="A714" s="321" t="s">
        <v>356</v>
      </c>
      <c r="B714" s="321" t="s">
        <v>120</v>
      </c>
      <c r="C714" s="318" t="s">
        <v>88</v>
      </c>
      <c r="D714">
        <v>9045</v>
      </c>
      <c r="E714" s="143">
        <v>80000</v>
      </c>
      <c r="F714" s="117">
        <v>1403</v>
      </c>
      <c r="G714" s="321" t="s">
        <v>297</v>
      </c>
      <c r="H714" s="144">
        <f>bargiri[[#This Row],[میزان بارگیری شده]]*bargiri[[#This Row],[فی]]</f>
        <v>723600000</v>
      </c>
      <c r="I714" s="321">
        <f>IF(year=bargiri[[#This Row],[سال]],1,0)</f>
        <v>0</v>
      </c>
      <c r="X714" s="1"/>
      <c r="Y714" s="1"/>
      <c r="Z714" s="1"/>
    </row>
    <row r="715" spans="1:26" ht="18.600000000000001" x14ac:dyDescent="0.25">
      <c r="A715" s="321" t="s">
        <v>356</v>
      </c>
      <c r="B715" s="321" t="s">
        <v>118</v>
      </c>
      <c r="C715" s="318" t="s">
        <v>84</v>
      </c>
      <c r="D715">
        <v>20490</v>
      </c>
      <c r="E715" s="143">
        <v>57273</v>
      </c>
      <c r="F715" s="117">
        <v>1403</v>
      </c>
      <c r="G715" s="321" t="s">
        <v>297</v>
      </c>
      <c r="H715" s="144">
        <f>bargiri[[#This Row],[میزان بارگیری شده]]*bargiri[[#This Row],[فی]]</f>
        <v>1173523770</v>
      </c>
      <c r="I715" s="321">
        <f>IF(year=bargiri[[#This Row],[سال]],1,0)</f>
        <v>0</v>
      </c>
      <c r="X715" s="1"/>
      <c r="Y715" s="1"/>
      <c r="Z715" s="1"/>
    </row>
    <row r="716" spans="1:26" ht="18.600000000000001" hidden="1" x14ac:dyDescent="0.25">
      <c r="A716" s="321" t="s">
        <v>356</v>
      </c>
      <c r="B716" s="321" t="s">
        <v>106</v>
      </c>
      <c r="C716" s="318" t="s">
        <v>45</v>
      </c>
      <c r="D716">
        <v>20310</v>
      </c>
      <c r="E716" s="143">
        <v>80000</v>
      </c>
      <c r="F716" s="117">
        <v>1403</v>
      </c>
      <c r="G716" s="321" t="s">
        <v>297</v>
      </c>
      <c r="H716" s="144">
        <f>bargiri[[#This Row],[میزان بارگیری شده]]*bargiri[[#This Row],[فی]]</f>
        <v>1624800000</v>
      </c>
      <c r="I716" s="321">
        <f>IF(year=bargiri[[#This Row],[سال]],1,0)</f>
        <v>0</v>
      </c>
      <c r="X716" s="1"/>
      <c r="Y716" s="1"/>
      <c r="Z716" s="1"/>
    </row>
    <row r="717" spans="1:26" ht="18.600000000000001" hidden="1" x14ac:dyDescent="0.25">
      <c r="A717" s="321" t="s">
        <v>356</v>
      </c>
      <c r="B717" s="321" t="s">
        <v>120</v>
      </c>
      <c r="C717" s="318" t="s">
        <v>88</v>
      </c>
      <c r="D717">
        <v>9115</v>
      </c>
      <c r="E717" s="143">
        <v>80000</v>
      </c>
      <c r="F717" s="117">
        <v>1403</v>
      </c>
      <c r="G717" s="321" t="s">
        <v>297</v>
      </c>
      <c r="H717" s="144">
        <f>bargiri[[#This Row],[میزان بارگیری شده]]*bargiri[[#This Row],[فی]]</f>
        <v>729200000</v>
      </c>
      <c r="I717" s="321">
        <f>IF(year=bargiri[[#This Row],[سال]],1,0)</f>
        <v>0</v>
      </c>
      <c r="X717" s="1"/>
      <c r="Y717" s="1"/>
      <c r="Z717" s="1"/>
    </row>
    <row r="718" spans="1:26" ht="18.600000000000001" hidden="1" x14ac:dyDescent="0.25">
      <c r="A718" s="321" t="s">
        <v>359</v>
      </c>
      <c r="B718" s="321" t="s">
        <v>107</v>
      </c>
      <c r="C718" s="318" t="s">
        <v>50</v>
      </c>
      <c r="D718">
        <v>19095</v>
      </c>
      <c r="E718" s="143">
        <v>70000</v>
      </c>
      <c r="F718" s="117">
        <v>1403</v>
      </c>
      <c r="G718" s="321" t="s">
        <v>297</v>
      </c>
      <c r="H718" s="144">
        <f>bargiri[[#This Row],[میزان بارگیری شده]]*bargiri[[#This Row],[فی]]</f>
        <v>1336650000</v>
      </c>
      <c r="I718" s="321">
        <f>IF(year=bargiri[[#This Row],[سال]],1,0)</f>
        <v>0</v>
      </c>
      <c r="X718" s="1"/>
      <c r="Y718" s="1"/>
      <c r="Z718" s="1"/>
    </row>
    <row r="719" spans="1:26" ht="18.600000000000001" hidden="1" x14ac:dyDescent="0.25">
      <c r="A719" s="321" t="s">
        <v>359</v>
      </c>
      <c r="B719" s="321" t="s">
        <v>116</v>
      </c>
      <c r="C719" s="318" t="s">
        <v>73</v>
      </c>
      <c r="D719">
        <v>20065</v>
      </c>
      <c r="E719" s="143">
        <v>92180</v>
      </c>
      <c r="F719" s="117">
        <v>1403</v>
      </c>
      <c r="G719" s="321" t="s">
        <v>297</v>
      </c>
      <c r="H719" s="144">
        <f>bargiri[[#This Row],[میزان بارگیری شده]]*bargiri[[#This Row],[فی]]</f>
        <v>1849591700</v>
      </c>
      <c r="I719" s="321">
        <f>IF(year=bargiri[[#This Row],[سال]],1,0)</f>
        <v>0</v>
      </c>
      <c r="X719" s="1"/>
      <c r="Y719" s="1"/>
      <c r="Z719" s="1"/>
    </row>
    <row r="720" spans="1:26" ht="18.600000000000001" hidden="1" x14ac:dyDescent="0.25">
      <c r="A720" s="321" t="s">
        <v>359</v>
      </c>
      <c r="B720" s="321" t="s">
        <v>102</v>
      </c>
      <c r="C720" s="318" t="s">
        <v>25</v>
      </c>
      <c r="D720">
        <v>10125</v>
      </c>
      <c r="E720" s="143">
        <v>65000</v>
      </c>
      <c r="F720" s="117">
        <v>1403</v>
      </c>
      <c r="G720" s="321" t="s">
        <v>297</v>
      </c>
      <c r="H720" s="144">
        <f>bargiri[[#This Row],[میزان بارگیری شده]]*bargiri[[#This Row],[فی]]</f>
        <v>658125000</v>
      </c>
      <c r="I720" s="321">
        <f>IF(year=bargiri[[#This Row],[سال]],1,0)</f>
        <v>0</v>
      </c>
      <c r="X720" s="1"/>
      <c r="Y720" s="1"/>
      <c r="Z720" s="1"/>
    </row>
    <row r="721" spans="1:26" ht="18.600000000000001" hidden="1" x14ac:dyDescent="0.25">
      <c r="A721" s="321" t="s">
        <v>359</v>
      </c>
      <c r="B721" s="321" t="s">
        <v>104</v>
      </c>
      <c r="C721" s="318" t="s">
        <v>41</v>
      </c>
      <c r="D721">
        <v>18125</v>
      </c>
      <c r="E721" s="143">
        <v>85000</v>
      </c>
      <c r="F721" s="117">
        <v>1403</v>
      </c>
      <c r="G721" s="321" t="s">
        <v>297</v>
      </c>
      <c r="H721" s="144">
        <f>bargiri[[#This Row],[میزان بارگیری شده]]*bargiri[[#This Row],[فی]]</f>
        <v>1540625000</v>
      </c>
      <c r="I721" s="321">
        <f>IF(year=bargiri[[#This Row],[سال]],1,0)</f>
        <v>0</v>
      </c>
      <c r="X721" s="1"/>
      <c r="Y721" s="1"/>
      <c r="Z721" s="1"/>
    </row>
    <row r="722" spans="1:26" ht="18.600000000000001" hidden="1" x14ac:dyDescent="0.25">
      <c r="A722" s="321" t="s">
        <v>359</v>
      </c>
      <c r="B722" s="321" t="s">
        <v>107</v>
      </c>
      <c r="C722" s="318" t="s">
        <v>50</v>
      </c>
      <c r="D722">
        <v>9935</v>
      </c>
      <c r="E722" s="143">
        <v>70000</v>
      </c>
      <c r="F722" s="117">
        <v>1403</v>
      </c>
      <c r="G722" s="321" t="s">
        <v>297</v>
      </c>
      <c r="H722" s="144">
        <f>bargiri[[#This Row],[میزان بارگیری شده]]*bargiri[[#This Row],[فی]]</f>
        <v>695450000</v>
      </c>
      <c r="I722" s="321">
        <f>IF(year=bargiri[[#This Row],[سال]],1,0)</f>
        <v>0</v>
      </c>
      <c r="X722" s="1"/>
      <c r="Y722" s="1"/>
      <c r="Z722" s="1"/>
    </row>
    <row r="723" spans="1:26" ht="18.600000000000001" hidden="1" x14ac:dyDescent="0.25">
      <c r="A723" s="321" t="s">
        <v>359</v>
      </c>
      <c r="B723" s="321" t="s">
        <v>111</v>
      </c>
      <c r="C723" s="318" t="s">
        <v>59</v>
      </c>
      <c r="D723">
        <v>9750</v>
      </c>
      <c r="E723" s="143">
        <v>80000</v>
      </c>
      <c r="F723" s="117">
        <v>1403</v>
      </c>
      <c r="G723" s="321" t="s">
        <v>297</v>
      </c>
      <c r="H723" s="144">
        <f>bargiri[[#This Row],[میزان بارگیری شده]]*bargiri[[#This Row],[فی]]</f>
        <v>780000000</v>
      </c>
      <c r="I723" s="321">
        <f>IF(year=bargiri[[#This Row],[سال]],1,0)</f>
        <v>0</v>
      </c>
      <c r="X723" s="1"/>
      <c r="Y723" s="1"/>
      <c r="Z723" s="1"/>
    </row>
    <row r="724" spans="1:26" ht="18.600000000000001" x14ac:dyDescent="0.25">
      <c r="A724" s="321" t="s">
        <v>359</v>
      </c>
      <c r="B724" s="321" t="s">
        <v>118</v>
      </c>
      <c r="C724" s="318" t="s">
        <v>84</v>
      </c>
      <c r="D724">
        <v>21055</v>
      </c>
      <c r="E724" s="143">
        <v>57273</v>
      </c>
      <c r="F724" s="117">
        <v>1403</v>
      </c>
      <c r="G724" s="321" t="s">
        <v>297</v>
      </c>
      <c r="H724" s="144">
        <f>bargiri[[#This Row],[میزان بارگیری شده]]*bargiri[[#This Row],[فی]]</f>
        <v>1205883015</v>
      </c>
      <c r="I724" s="321">
        <f>IF(year=bargiri[[#This Row],[سال]],1,0)</f>
        <v>0</v>
      </c>
      <c r="X724" s="1"/>
      <c r="Y724" s="1"/>
      <c r="Z724" s="1"/>
    </row>
    <row r="725" spans="1:26" ht="18.600000000000001" x14ac:dyDescent="0.25">
      <c r="A725" s="321" t="s">
        <v>359</v>
      </c>
      <c r="B725" s="321" t="s">
        <v>118</v>
      </c>
      <c r="C725" s="318" t="s">
        <v>84</v>
      </c>
      <c r="D725">
        <v>20765</v>
      </c>
      <c r="E725" s="143">
        <v>57273</v>
      </c>
      <c r="F725" s="117">
        <v>1403</v>
      </c>
      <c r="G725" s="321" t="s">
        <v>297</v>
      </c>
      <c r="H725" s="144">
        <f>bargiri[[#This Row],[میزان بارگیری شده]]*bargiri[[#This Row],[فی]]</f>
        <v>1189273845</v>
      </c>
      <c r="I725" s="321">
        <f>IF(year=bargiri[[#This Row],[سال]],1,0)</f>
        <v>0</v>
      </c>
      <c r="X725" s="1"/>
      <c r="Y725" s="1"/>
      <c r="Z725" s="1"/>
    </row>
    <row r="726" spans="1:26" ht="18.600000000000001" hidden="1" x14ac:dyDescent="0.25">
      <c r="A726" s="321" t="s">
        <v>218</v>
      </c>
      <c r="B726" s="321" t="s">
        <v>116</v>
      </c>
      <c r="C726" s="318" t="s">
        <v>73</v>
      </c>
      <c r="D726">
        <v>19985</v>
      </c>
      <c r="E726" s="143">
        <v>92180</v>
      </c>
      <c r="F726" s="117">
        <v>1403</v>
      </c>
      <c r="G726" s="321" t="s">
        <v>297</v>
      </c>
      <c r="H726" s="144">
        <f>bargiri[[#This Row],[میزان بارگیری شده]]*bargiri[[#This Row],[فی]]</f>
        <v>1842217300</v>
      </c>
      <c r="I726" s="321">
        <f>IF(year=bargiri[[#This Row],[سال]],1,0)</f>
        <v>0</v>
      </c>
      <c r="X726" s="1"/>
      <c r="Y726" s="1"/>
      <c r="Z726" s="1"/>
    </row>
    <row r="727" spans="1:26" ht="18.600000000000001" hidden="1" x14ac:dyDescent="0.25">
      <c r="A727" s="321" t="s">
        <v>218</v>
      </c>
      <c r="B727" s="321" t="s">
        <v>114</v>
      </c>
      <c r="C727" s="318" t="s">
        <v>63</v>
      </c>
      <c r="D727">
        <v>21175</v>
      </c>
      <c r="E727" s="143">
        <v>75000</v>
      </c>
      <c r="F727" s="117">
        <v>1403</v>
      </c>
      <c r="G727" s="321" t="s">
        <v>297</v>
      </c>
      <c r="H727" s="144">
        <f>bargiri[[#This Row],[میزان بارگیری شده]]*bargiri[[#This Row],[فی]]</f>
        <v>1588125000</v>
      </c>
      <c r="I727" s="321">
        <f>IF(year=bargiri[[#This Row],[سال]],1,0)</f>
        <v>0</v>
      </c>
      <c r="X727" s="1"/>
      <c r="Y727" s="1"/>
      <c r="Z727" s="1"/>
    </row>
    <row r="728" spans="1:26" ht="18.600000000000001" hidden="1" x14ac:dyDescent="0.25">
      <c r="A728" s="321" t="s">
        <v>218</v>
      </c>
      <c r="B728" s="321" t="s">
        <v>106</v>
      </c>
      <c r="C728" s="318" t="s">
        <v>45</v>
      </c>
      <c r="D728">
        <v>18020</v>
      </c>
      <c r="E728" s="143">
        <v>80000</v>
      </c>
      <c r="F728" s="117">
        <v>1403</v>
      </c>
      <c r="G728" s="321" t="s">
        <v>297</v>
      </c>
      <c r="H728" s="144">
        <f>bargiri[[#This Row],[میزان بارگیری شده]]*bargiri[[#This Row],[فی]]</f>
        <v>1441600000</v>
      </c>
      <c r="I728" s="321">
        <f>IF(year=bargiri[[#This Row],[سال]],1,0)</f>
        <v>0</v>
      </c>
      <c r="X728" s="1"/>
      <c r="Y728" s="1"/>
      <c r="Z728" s="1"/>
    </row>
    <row r="729" spans="1:26" ht="18.600000000000001" hidden="1" x14ac:dyDescent="0.25">
      <c r="A729" s="321" t="s">
        <v>218</v>
      </c>
      <c r="B729" s="321" t="s">
        <v>103</v>
      </c>
      <c r="C729" s="318" t="s">
        <v>29</v>
      </c>
      <c r="D729">
        <v>7605</v>
      </c>
      <c r="E729" s="143">
        <v>75000</v>
      </c>
      <c r="F729" s="117">
        <v>1403</v>
      </c>
      <c r="G729" s="321" t="s">
        <v>297</v>
      </c>
      <c r="H729" s="144">
        <f>bargiri[[#This Row],[میزان بارگیری شده]]*bargiri[[#This Row],[فی]]</f>
        <v>570375000</v>
      </c>
      <c r="I729" s="321">
        <f>IF(year=bargiri[[#This Row],[سال]],1,0)</f>
        <v>0</v>
      </c>
      <c r="X729" s="1"/>
      <c r="Y729" s="1"/>
      <c r="Z729" s="1"/>
    </row>
    <row r="730" spans="1:26" ht="18.600000000000001" hidden="1" x14ac:dyDescent="0.25">
      <c r="A730" s="321" t="s">
        <v>218</v>
      </c>
      <c r="B730" s="321" t="s">
        <v>120</v>
      </c>
      <c r="C730" s="318" t="s">
        <v>88</v>
      </c>
      <c r="D730">
        <v>9055</v>
      </c>
      <c r="E730" s="143">
        <v>80000</v>
      </c>
      <c r="F730" s="117">
        <v>1403</v>
      </c>
      <c r="G730" s="321" t="s">
        <v>297</v>
      </c>
      <c r="H730" s="144">
        <f>bargiri[[#This Row],[میزان بارگیری شده]]*bargiri[[#This Row],[فی]]</f>
        <v>724400000</v>
      </c>
      <c r="I730" s="321">
        <f>IF(year=bargiri[[#This Row],[سال]],1,0)</f>
        <v>0</v>
      </c>
      <c r="X730" s="1"/>
      <c r="Y730" s="1"/>
      <c r="Z730" s="1"/>
    </row>
    <row r="731" spans="1:26" ht="18.600000000000001" hidden="1" x14ac:dyDescent="0.25">
      <c r="A731" s="321" t="s">
        <v>218</v>
      </c>
      <c r="B731" s="321" t="s">
        <v>113</v>
      </c>
      <c r="C731" s="318" t="s">
        <v>61</v>
      </c>
      <c r="D731">
        <v>10025</v>
      </c>
      <c r="E731" s="143">
        <v>75000</v>
      </c>
      <c r="F731" s="117">
        <v>1403</v>
      </c>
      <c r="G731" s="321" t="s">
        <v>297</v>
      </c>
      <c r="H731" s="144">
        <f>bargiri[[#This Row],[میزان بارگیری شده]]*bargiri[[#This Row],[فی]]</f>
        <v>751875000</v>
      </c>
      <c r="I731" s="321">
        <f>IF(year=bargiri[[#This Row],[سال]],1,0)</f>
        <v>0</v>
      </c>
      <c r="X731" s="1"/>
      <c r="Y731" s="1"/>
      <c r="Z731" s="1"/>
    </row>
    <row r="732" spans="1:26" ht="18.600000000000001" hidden="1" x14ac:dyDescent="0.25">
      <c r="A732" s="321" t="s">
        <v>360</v>
      </c>
      <c r="B732" s="321" t="s">
        <v>102</v>
      </c>
      <c r="C732" s="318" t="s">
        <v>25</v>
      </c>
      <c r="D732">
        <v>11695</v>
      </c>
      <c r="E732" s="143">
        <v>65000</v>
      </c>
      <c r="F732" s="117">
        <v>1403</v>
      </c>
      <c r="G732" s="321" t="s">
        <v>297</v>
      </c>
      <c r="H732" s="144">
        <f>bargiri[[#This Row],[میزان بارگیری شده]]*bargiri[[#This Row],[فی]]</f>
        <v>760175000</v>
      </c>
      <c r="I732" s="321">
        <f>IF(year=bargiri[[#This Row],[سال]],1,0)</f>
        <v>0</v>
      </c>
      <c r="X732" s="1"/>
      <c r="Y732" s="1"/>
      <c r="Z732" s="1"/>
    </row>
    <row r="733" spans="1:26" ht="18.600000000000001" hidden="1" x14ac:dyDescent="0.25">
      <c r="A733" s="321" t="s">
        <v>360</v>
      </c>
      <c r="B733" s="321" t="s">
        <v>107</v>
      </c>
      <c r="C733" s="318" t="s">
        <v>50</v>
      </c>
      <c r="D733">
        <v>18940</v>
      </c>
      <c r="E733" s="143">
        <v>70000</v>
      </c>
      <c r="F733" s="117">
        <v>1403</v>
      </c>
      <c r="G733" s="321" t="s">
        <v>297</v>
      </c>
      <c r="H733" s="144">
        <f>bargiri[[#This Row],[میزان بارگیری شده]]*bargiri[[#This Row],[فی]]</f>
        <v>1325800000</v>
      </c>
      <c r="I733" s="321">
        <f>IF(year=bargiri[[#This Row],[سال]],1,0)</f>
        <v>0</v>
      </c>
      <c r="X733" s="1"/>
      <c r="Y733" s="1"/>
      <c r="Z733" s="1"/>
    </row>
    <row r="734" spans="1:26" ht="18.600000000000001" hidden="1" x14ac:dyDescent="0.25">
      <c r="A734" s="321" t="s">
        <v>360</v>
      </c>
      <c r="B734" s="321" t="s">
        <v>101</v>
      </c>
      <c r="C734" s="318" t="s">
        <v>17</v>
      </c>
      <c r="D734">
        <v>20045</v>
      </c>
      <c r="E734" s="143">
        <v>65000</v>
      </c>
      <c r="F734" s="117">
        <v>1403</v>
      </c>
      <c r="G734" s="321" t="s">
        <v>297</v>
      </c>
      <c r="H734" s="144">
        <f>bargiri[[#This Row],[میزان بارگیری شده]]*bargiri[[#This Row],[فی]]</f>
        <v>1302925000</v>
      </c>
      <c r="I734" s="321">
        <f>IF(year=bargiri[[#This Row],[سال]],1,0)</f>
        <v>0</v>
      </c>
      <c r="X734" s="1"/>
      <c r="Y734" s="1"/>
      <c r="Z734" s="1"/>
    </row>
    <row r="735" spans="1:26" ht="18.600000000000001" hidden="1" x14ac:dyDescent="0.25">
      <c r="A735" s="321" t="s">
        <v>360</v>
      </c>
      <c r="B735" s="321" t="s">
        <v>98</v>
      </c>
      <c r="C735" s="318" t="s">
        <v>8</v>
      </c>
      <c r="D735">
        <v>20015</v>
      </c>
      <c r="E735" s="143">
        <v>72000</v>
      </c>
      <c r="F735" s="117">
        <v>1403</v>
      </c>
      <c r="G735" s="321" t="s">
        <v>297</v>
      </c>
      <c r="H735" s="144">
        <f>bargiri[[#This Row],[میزان بارگیری شده]]*bargiri[[#This Row],[فی]]</f>
        <v>1441080000</v>
      </c>
      <c r="I735" s="321">
        <f>IF(year=bargiri[[#This Row],[سال]],1,0)</f>
        <v>0</v>
      </c>
      <c r="X735" s="1"/>
      <c r="Y735" s="1"/>
      <c r="Z735" s="1"/>
    </row>
    <row r="736" spans="1:26" ht="18.600000000000001" hidden="1" x14ac:dyDescent="0.25">
      <c r="A736" s="321" t="s">
        <v>360</v>
      </c>
      <c r="B736" s="321" t="s">
        <v>113</v>
      </c>
      <c r="C736" s="318" t="s">
        <v>61</v>
      </c>
      <c r="D736">
        <v>18855</v>
      </c>
      <c r="E736" s="143">
        <v>75000</v>
      </c>
      <c r="F736" s="117">
        <v>1403</v>
      </c>
      <c r="G736" s="321" t="s">
        <v>297</v>
      </c>
      <c r="H736" s="144">
        <f>bargiri[[#This Row],[میزان بارگیری شده]]*bargiri[[#This Row],[فی]]</f>
        <v>1414125000</v>
      </c>
      <c r="I736" s="321">
        <f>IF(year=bargiri[[#This Row],[سال]],1,0)</f>
        <v>0</v>
      </c>
      <c r="X736" s="1"/>
      <c r="Y736" s="1"/>
      <c r="Z736" s="1"/>
    </row>
    <row r="737" spans="1:26" ht="18.600000000000001" hidden="1" x14ac:dyDescent="0.25">
      <c r="A737" s="321" t="s">
        <v>140</v>
      </c>
      <c r="B737" s="321" t="s">
        <v>106</v>
      </c>
      <c r="C737" s="318" t="s">
        <v>45</v>
      </c>
      <c r="D737">
        <v>20015</v>
      </c>
      <c r="E737" s="143">
        <v>80000</v>
      </c>
      <c r="F737" s="117">
        <v>1403</v>
      </c>
      <c r="G737" s="321" t="s">
        <v>297</v>
      </c>
      <c r="H737" s="144">
        <f>bargiri[[#This Row],[میزان بارگیری شده]]*bargiri[[#This Row],[فی]]</f>
        <v>1601200000</v>
      </c>
      <c r="I737" s="321">
        <f>IF(year=bargiri[[#This Row],[سال]],1,0)</f>
        <v>0</v>
      </c>
      <c r="X737" s="1"/>
      <c r="Y737" s="1"/>
      <c r="Z737" s="1"/>
    </row>
    <row r="738" spans="1:26" ht="18.600000000000001" hidden="1" x14ac:dyDescent="0.25">
      <c r="A738" s="321" t="s">
        <v>140</v>
      </c>
      <c r="B738" s="321" t="s">
        <v>117</v>
      </c>
      <c r="C738" s="318" t="s">
        <v>79</v>
      </c>
      <c r="D738">
        <v>19870</v>
      </c>
      <c r="E738" s="143">
        <v>75000</v>
      </c>
      <c r="F738" s="117">
        <v>1403</v>
      </c>
      <c r="G738" s="321" t="s">
        <v>297</v>
      </c>
      <c r="H738" s="144">
        <f>bargiri[[#This Row],[میزان بارگیری شده]]*bargiri[[#This Row],[فی]]</f>
        <v>1490250000</v>
      </c>
      <c r="I738" s="321">
        <f>IF(year=bargiri[[#This Row],[سال]],1,0)</f>
        <v>0</v>
      </c>
      <c r="X738" s="1"/>
      <c r="Y738" s="1"/>
      <c r="Z738" s="1"/>
    </row>
    <row r="739" spans="1:26" ht="18.600000000000001" hidden="1" x14ac:dyDescent="0.25">
      <c r="A739" s="321" t="s">
        <v>140</v>
      </c>
      <c r="B739" s="321" t="s">
        <v>103</v>
      </c>
      <c r="C739" s="318" t="s">
        <v>29</v>
      </c>
      <c r="D739">
        <v>6860</v>
      </c>
      <c r="E739" s="143">
        <v>75000</v>
      </c>
      <c r="F739" s="117">
        <v>1403</v>
      </c>
      <c r="G739" s="321" t="s">
        <v>297</v>
      </c>
      <c r="H739" s="144">
        <f>bargiri[[#This Row],[میزان بارگیری شده]]*bargiri[[#This Row],[فی]]</f>
        <v>514500000</v>
      </c>
      <c r="I739" s="321">
        <f>IF(year=bargiri[[#This Row],[سال]],1,0)</f>
        <v>0</v>
      </c>
      <c r="X739" s="1"/>
      <c r="Y739" s="1"/>
      <c r="Z739" s="1"/>
    </row>
    <row r="740" spans="1:26" ht="18.600000000000001" hidden="1" x14ac:dyDescent="0.25">
      <c r="A740" s="321" t="s">
        <v>140</v>
      </c>
      <c r="B740" s="321" t="s">
        <v>122</v>
      </c>
      <c r="C740" s="318" t="s">
        <v>91</v>
      </c>
      <c r="D740">
        <v>19995</v>
      </c>
      <c r="E740" s="143">
        <v>75000</v>
      </c>
      <c r="F740" s="117">
        <v>1403</v>
      </c>
      <c r="G740" s="321" t="s">
        <v>297</v>
      </c>
      <c r="H740" s="144">
        <f>bargiri[[#This Row],[میزان بارگیری شده]]*bargiri[[#This Row],[فی]]</f>
        <v>1499625000</v>
      </c>
      <c r="I740" s="321">
        <f>IF(year=bargiri[[#This Row],[سال]],1,0)</f>
        <v>0</v>
      </c>
      <c r="X740" s="1"/>
      <c r="Y740" s="1"/>
      <c r="Z740" s="1"/>
    </row>
    <row r="741" spans="1:26" ht="18.600000000000001" hidden="1" x14ac:dyDescent="0.25">
      <c r="A741" s="321" t="s">
        <v>140</v>
      </c>
      <c r="B741" s="321" t="s">
        <v>110</v>
      </c>
      <c r="C741" s="318" t="s">
        <v>57</v>
      </c>
      <c r="D741">
        <v>21020</v>
      </c>
      <c r="E741" s="143">
        <v>78000</v>
      </c>
      <c r="F741" s="117">
        <v>1403</v>
      </c>
      <c r="G741" s="321" t="s">
        <v>297</v>
      </c>
      <c r="H741" s="144">
        <f>bargiri[[#This Row],[میزان بارگیری شده]]*bargiri[[#This Row],[فی]]</f>
        <v>1639560000</v>
      </c>
      <c r="I741" s="321">
        <f>IF(year=bargiri[[#This Row],[سال]],1,0)</f>
        <v>0</v>
      </c>
      <c r="X741" s="1"/>
      <c r="Y741" s="1"/>
      <c r="Z741" s="1"/>
    </row>
    <row r="742" spans="1:26" ht="18.600000000000001" hidden="1" x14ac:dyDescent="0.25">
      <c r="A742" s="321" t="s">
        <v>198</v>
      </c>
      <c r="B742" s="321" t="s">
        <v>103</v>
      </c>
      <c r="C742" s="318" t="s">
        <v>29</v>
      </c>
      <c r="D742">
        <v>7070</v>
      </c>
      <c r="E742" s="143">
        <v>75000</v>
      </c>
      <c r="F742" s="117">
        <v>1403</v>
      </c>
      <c r="G742" s="321" t="s">
        <v>297</v>
      </c>
      <c r="H742" s="144">
        <f>bargiri[[#This Row],[میزان بارگیری شده]]*bargiri[[#This Row],[فی]]</f>
        <v>530250000</v>
      </c>
      <c r="I742" s="321">
        <f>IF(year=bargiri[[#This Row],[سال]],1,0)</f>
        <v>0</v>
      </c>
      <c r="X742" s="1"/>
      <c r="Y742" s="1"/>
      <c r="Z742" s="1"/>
    </row>
    <row r="743" spans="1:26" ht="18.600000000000001" hidden="1" x14ac:dyDescent="0.25">
      <c r="A743" s="321" t="s">
        <v>198</v>
      </c>
      <c r="B743" s="321" t="s">
        <v>103</v>
      </c>
      <c r="C743" s="318" t="s">
        <v>30</v>
      </c>
      <c r="D743">
        <v>5150</v>
      </c>
      <c r="E743" s="143">
        <v>70000</v>
      </c>
      <c r="F743" s="117">
        <v>1403</v>
      </c>
      <c r="G743" s="321" t="s">
        <v>297</v>
      </c>
      <c r="H743" s="144">
        <f>bargiri[[#This Row],[میزان بارگیری شده]]*bargiri[[#This Row],[فی]]</f>
        <v>360500000</v>
      </c>
      <c r="I743" s="321">
        <f>IF(year=bargiri[[#This Row],[سال]],1,0)</f>
        <v>0</v>
      </c>
      <c r="X743" s="1"/>
      <c r="Y743" s="1"/>
      <c r="Z743" s="1"/>
    </row>
    <row r="744" spans="1:26" ht="18.600000000000001" hidden="1" x14ac:dyDescent="0.25">
      <c r="A744" s="321" t="s">
        <v>198</v>
      </c>
      <c r="B744" s="321" t="s">
        <v>103</v>
      </c>
      <c r="C744" s="318" t="s">
        <v>29</v>
      </c>
      <c r="D744">
        <v>1840</v>
      </c>
      <c r="E744" s="143">
        <v>75000</v>
      </c>
      <c r="F744" s="117">
        <v>1403</v>
      </c>
      <c r="G744" s="321" t="s">
        <v>297</v>
      </c>
      <c r="H744" s="144">
        <f>bargiri[[#This Row],[میزان بارگیری شده]]*bargiri[[#This Row],[فی]]</f>
        <v>138000000</v>
      </c>
      <c r="I744" s="321">
        <f>IF(year=bargiri[[#This Row],[سال]],1,0)</f>
        <v>0</v>
      </c>
      <c r="X744" s="1"/>
      <c r="Y744" s="1"/>
      <c r="Z744" s="1"/>
    </row>
    <row r="745" spans="1:26" ht="18.600000000000001" hidden="1" x14ac:dyDescent="0.25">
      <c r="A745" s="321" t="s">
        <v>361</v>
      </c>
      <c r="B745" s="321" t="s">
        <v>117</v>
      </c>
      <c r="C745" s="318" t="s">
        <v>79</v>
      </c>
      <c r="D745">
        <v>16170</v>
      </c>
      <c r="E745" s="143">
        <v>75000</v>
      </c>
      <c r="F745" s="117">
        <v>1403</v>
      </c>
      <c r="G745" s="321" t="s">
        <v>297</v>
      </c>
      <c r="H745" s="144">
        <f>bargiri[[#This Row],[میزان بارگیری شده]]*bargiri[[#This Row],[فی]]</f>
        <v>1212750000</v>
      </c>
      <c r="I745" s="321">
        <f>IF(year=bargiri[[#This Row],[سال]],1,0)</f>
        <v>0</v>
      </c>
      <c r="X745" s="1"/>
      <c r="Y745" s="1"/>
      <c r="Z745" s="1"/>
    </row>
    <row r="746" spans="1:26" ht="18.600000000000001" hidden="1" x14ac:dyDescent="0.25">
      <c r="A746" s="321" t="s">
        <v>361</v>
      </c>
      <c r="B746" s="321" t="s">
        <v>102</v>
      </c>
      <c r="C746" s="318" t="s">
        <v>25</v>
      </c>
      <c r="D746">
        <v>11900</v>
      </c>
      <c r="E746" s="143">
        <v>65000</v>
      </c>
      <c r="F746" s="117">
        <v>1403</v>
      </c>
      <c r="G746" s="321" t="s">
        <v>297</v>
      </c>
      <c r="H746" s="144">
        <f>bargiri[[#This Row],[میزان بارگیری شده]]*bargiri[[#This Row],[فی]]</f>
        <v>773500000</v>
      </c>
      <c r="I746" s="321">
        <f>IF(year=bargiri[[#This Row],[سال]],1,0)</f>
        <v>0</v>
      </c>
      <c r="X746" s="1"/>
      <c r="Y746" s="1"/>
      <c r="Z746" s="1"/>
    </row>
    <row r="747" spans="1:26" ht="18.600000000000001" hidden="1" x14ac:dyDescent="0.25">
      <c r="A747" s="321" t="s">
        <v>361</v>
      </c>
      <c r="B747" s="321" t="s">
        <v>117</v>
      </c>
      <c r="C747" s="318" t="s">
        <v>79</v>
      </c>
      <c r="D747">
        <v>5765</v>
      </c>
      <c r="E747" s="143">
        <v>75000</v>
      </c>
      <c r="F747" s="117">
        <v>1403</v>
      </c>
      <c r="G747" s="321" t="s">
        <v>297</v>
      </c>
      <c r="H747" s="144">
        <f>bargiri[[#This Row],[میزان بارگیری شده]]*bargiri[[#This Row],[فی]]</f>
        <v>432375000</v>
      </c>
      <c r="I747" s="321">
        <f>IF(year=bargiri[[#This Row],[سال]],1,0)</f>
        <v>0</v>
      </c>
      <c r="X747" s="1"/>
      <c r="Y747" s="1"/>
      <c r="Z747" s="1"/>
    </row>
    <row r="748" spans="1:26" ht="18.600000000000001" hidden="1" x14ac:dyDescent="0.25">
      <c r="A748" s="321" t="s">
        <v>361</v>
      </c>
      <c r="B748" s="321" t="s">
        <v>101</v>
      </c>
      <c r="C748" s="318" t="s">
        <v>17</v>
      </c>
      <c r="D748">
        <v>21755</v>
      </c>
      <c r="E748" s="143">
        <v>65000</v>
      </c>
      <c r="F748" s="117">
        <v>1403</v>
      </c>
      <c r="G748" s="321" t="s">
        <v>297</v>
      </c>
      <c r="H748" s="144">
        <f>bargiri[[#This Row],[میزان بارگیری شده]]*bargiri[[#This Row],[فی]]</f>
        <v>1414075000</v>
      </c>
      <c r="I748" s="321">
        <f>IF(year=bargiri[[#This Row],[سال]],1,0)</f>
        <v>0</v>
      </c>
      <c r="X748" s="1"/>
      <c r="Y748" s="1"/>
      <c r="Z748" s="1"/>
    </row>
    <row r="749" spans="1:26" ht="18.600000000000001" x14ac:dyDescent="0.25">
      <c r="A749" s="321" t="s">
        <v>153</v>
      </c>
      <c r="B749" s="321" t="s">
        <v>118</v>
      </c>
      <c r="C749" s="318" t="s">
        <v>84</v>
      </c>
      <c r="D749">
        <v>21080</v>
      </c>
      <c r="E749" s="143">
        <v>57273</v>
      </c>
      <c r="F749" s="117">
        <v>1403</v>
      </c>
      <c r="G749" s="321" t="s">
        <v>297</v>
      </c>
      <c r="H749" s="144">
        <f>bargiri[[#This Row],[میزان بارگیری شده]]*bargiri[[#This Row],[فی]]</f>
        <v>1207314840</v>
      </c>
      <c r="I749" s="321">
        <f>IF(year=bargiri[[#This Row],[سال]],1,0)</f>
        <v>0</v>
      </c>
      <c r="X749" s="1"/>
      <c r="Y749" s="1"/>
      <c r="Z749" s="1"/>
    </row>
    <row r="750" spans="1:26" ht="18.600000000000001" x14ac:dyDescent="0.25">
      <c r="A750" s="321" t="s">
        <v>153</v>
      </c>
      <c r="B750" s="321" t="s">
        <v>118</v>
      </c>
      <c r="C750" s="318" t="s">
        <v>84</v>
      </c>
      <c r="D750">
        <v>20600</v>
      </c>
      <c r="E750" s="143">
        <v>57273</v>
      </c>
      <c r="F750" s="117">
        <v>1403</v>
      </c>
      <c r="G750" s="321" t="s">
        <v>297</v>
      </c>
      <c r="H750" s="144">
        <f>bargiri[[#This Row],[میزان بارگیری شده]]*bargiri[[#This Row],[فی]]</f>
        <v>1179823800</v>
      </c>
      <c r="I750" s="321">
        <f>IF(year=bargiri[[#This Row],[سال]],1,0)</f>
        <v>0</v>
      </c>
      <c r="X750" s="1"/>
      <c r="Y750" s="1"/>
      <c r="Z750" s="1"/>
    </row>
    <row r="751" spans="1:26" ht="18.600000000000001" x14ac:dyDescent="0.25">
      <c r="A751" s="321" t="s">
        <v>153</v>
      </c>
      <c r="B751" s="321" t="s">
        <v>118</v>
      </c>
      <c r="C751" s="318" t="s">
        <v>84</v>
      </c>
      <c r="D751">
        <v>21020</v>
      </c>
      <c r="E751" s="143">
        <v>57273</v>
      </c>
      <c r="F751" s="117">
        <v>1403</v>
      </c>
      <c r="G751" s="321" t="s">
        <v>297</v>
      </c>
      <c r="H751" s="144">
        <f>bargiri[[#This Row],[میزان بارگیری شده]]*bargiri[[#This Row],[فی]]</f>
        <v>1203878460</v>
      </c>
      <c r="I751" s="321">
        <f>IF(year=bargiri[[#This Row],[سال]],1,0)</f>
        <v>0</v>
      </c>
      <c r="X751" s="1"/>
      <c r="Y751" s="1"/>
      <c r="Z751" s="1"/>
    </row>
    <row r="752" spans="1:26" ht="18.600000000000001" x14ac:dyDescent="0.25">
      <c r="A752" s="321" t="s">
        <v>153</v>
      </c>
      <c r="B752" s="321" t="s">
        <v>118</v>
      </c>
      <c r="C752" s="318" t="s">
        <v>84</v>
      </c>
      <c r="D752">
        <v>20840</v>
      </c>
      <c r="E752" s="143">
        <v>57273</v>
      </c>
      <c r="F752" s="117">
        <v>1403</v>
      </c>
      <c r="G752" s="321" t="s">
        <v>297</v>
      </c>
      <c r="H752" s="144">
        <f>bargiri[[#This Row],[میزان بارگیری شده]]*bargiri[[#This Row],[فی]]</f>
        <v>1193569320</v>
      </c>
      <c r="I752" s="321">
        <f>IF(year=bargiri[[#This Row],[سال]],1,0)</f>
        <v>0</v>
      </c>
      <c r="X752" s="1"/>
      <c r="Y752" s="1"/>
      <c r="Z752" s="1"/>
    </row>
    <row r="753" spans="1:26" ht="18.600000000000001" hidden="1" x14ac:dyDescent="0.25">
      <c r="A753" s="321" t="s">
        <v>198</v>
      </c>
      <c r="B753" s="321" t="s">
        <v>120</v>
      </c>
      <c r="C753" s="318" t="s">
        <v>88</v>
      </c>
      <c r="D753">
        <v>9040</v>
      </c>
      <c r="E753" s="143">
        <v>80000</v>
      </c>
      <c r="F753" s="117">
        <v>1403</v>
      </c>
      <c r="G753" s="321" t="s">
        <v>297</v>
      </c>
      <c r="H753" s="144">
        <f>bargiri[[#This Row],[میزان بارگیری شده]]*bargiri[[#This Row],[فی]]</f>
        <v>723200000</v>
      </c>
      <c r="I753" s="321">
        <f>IF(year=bargiri[[#This Row],[سال]],1,0)</f>
        <v>0</v>
      </c>
      <c r="X753" s="1"/>
      <c r="Y753" s="1"/>
      <c r="Z753" s="1"/>
    </row>
    <row r="754" spans="1:26" ht="18.600000000000001" hidden="1" x14ac:dyDescent="0.25">
      <c r="A754" s="321" t="s">
        <v>198</v>
      </c>
      <c r="B754" s="321" t="s">
        <v>114</v>
      </c>
      <c r="C754" s="318" t="s">
        <v>63</v>
      </c>
      <c r="D754">
        <v>20045</v>
      </c>
      <c r="E754" s="143">
        <v>75000</v>
      </c>
      <c r="F754" s="117">
        <v>1403</v>
      </c>
      <c r="G754" s="321" t="s">
        <v>297</v>
      </c>
      <c r="H754" s="144">
        <f>bargiri[[#This Row],[میزان بارگیری شده]]*bargiri[[#This Row],[فی]]</f>
        <v>1503375000</v>
      </c>
      <c r="I754" s="321">
        <f>IF(year=bargiri[[#This Row],[سال]],1,0)</f>
        <v>0</v>
      </c>
      <c r="X754" s="1"/>
      <c r="Y754" s="1"/>
      <c r="Z754" s="1"/>
    </row>
    <row r="755" spans="1:26" ht="18.600000000000001" hidden="1" x14ac:dyDescent="0.25">
      <c r="A755" s="321" t="s">
        <v>198</v>
      </c>
      <c r="B755" s="321" t="s">
        <v>120</v>
      </c>
      <c r="C755" s="318" t="s">
        <v>88</v>
      </c>
      <c r="D755">
        <v>9015</v>
      </c>
      <c r="E755" s="143">
        <v>80000</v>
      </c>
      <c r="F755" s="117">
        <v>1403</v>
      </c>
      <c r="G755" s="321" t="s">
        <v>297</v>
      </c>
      <c r="H755" s="144">
        <f>bargiri[[#This Row],[میزان بارگیری شده]]*bargiri[[#This Row],[فی]]</f>
        <v>721200000</v>
      </c>
      <c r="I755" s="321">
        <f>IF(year=bargiri[[#This Row],[سال]],1,0)</f>
        <v>0</v>
      </c>
      <c r="X755" s="1"/>
      <c r="Y755" s="1"/>
      <c r="Z755" s="1"/>
    </row>
    <row r="756" spans="1:26" ht="18.600000000000001" hidden="1" x14ac:dyDescent="0.25">
      <c r="A756" s="321" t="s">
        <v>198</v>
      </c>
      <c r="B756" s="321" t="s">
        <v>107</v>
      </c>
      <c r="C756" s="318" t="s">
        <v>50</v>
      </c>
      <c r="D756">
        <v>17970</v>
      </c>
      <c r="E756" s="143">
        <v>70000</v>
      </c>
      <c r="F756" s="117">
        <v>1403</v>
      </c>
      <c r="G756" s="321" t="s">
        <v>297</v>
      </c>
      <c r="H756" s="144">
        <f>bargiri[[#This Row],[میزان بارگیری شده]]*bargiri[[#This Row],[فی]]</f>
        <v>1257900000</v>
      </c>
      <c r="I756" s="321">
        <f>IF(year=bargiri[[#This Row],[سال]],1,0)</f>
        <v>0</v>
      </c>
      <c r="X756" s="1"/>
      <c r="Y756" s="1"/>
      <c r="Z756" s="1"/>
    </row>
    <row r="757" spans="1:26" ht="18.600000000000001" hidden="1" x14ac:dyDescent="0.25">
      <c r="A757" s="321" t="s">
        <v>198</v>
      </c>
      <c r="B757" s="321" t="s">
        <v>116</v>
      </c>
      <c r="C757" s="318" t="s">
        <v>77</v>
      </c>
      <c r="D757">
        <v>18100</v>
      </c>
      <c r="E757" s="143">
        <v>68500</v>
      </c>
      <c r="F757" s="117">
        <v>1403</v>
      </c>
      <c r="G757" s="321" t="s">
        <v>297</v>
      </c>
      <c r="H757" s="144">
        <f>bargiri[[#This Row],[میزان بارگیری شده]]*bargiri[[#This Row],[فی]]</f>
        <v>1239850000</v>
      </c>
      <c r="I757" s="321">
        <f>IF(year=bargiri[[#This Row],[سال]],1,0)</f>
        <v>0</v>
      </c>
      <c r="X757" s="1"/>
      <c r="Y757" s="1"/>
      <c r="Z757" s="1"/>
    </row>
    <row r="758" spans="1:26" ht="18.600000000000001" x14ac:dyDescent="0.25">
      <c r="A758" s="321" t="s">
        <v>198</v>
      </c>
      <c r="B758" s="321" t="s">
        <v>118</v>
      </c>
      <c r="C758" s="318" t="s">
        <v>84</v>
      </c>
      <c r="D758">
        <v>20445</v>
      </c>
      <c r="E758" s="143">
        <v>57273</v>
      </c>
      <c r="F758" s="117">
        <v>1403</v>
      </c>
      <c r="G758" s="321" t="s">
        <v>297</v>
      </c>
      <c r="H758" s="144">
        <f>bargiri[[#This Row],[میزان بارگیری شده]]*bargiri[[#This Row],[فی]]</f>
        <v>1170946485</v>
      </c>
      <c r="I758" s="321">
        <f>IF(year=bargiri[[#This Row],[سال]],1,0)</f>
        <v>0</v>
      </c>
      <c r="X758" s="1"/>
      <c r="Y758" s="1"/>
      <c r="Z758" s="1"/>
    </row>
    <row r="759" spans="1:26" ht="18.600000000000001" hidden="1" x14ac:dyDescent="0.25">
      <c r="A759" s="321" t="s">
        <v>203</v>
      </c>
      <c r="B759" s="321" t="s">
        <v>106</v>
      </c>
      <c r="C759" s="318" t="s">
        <v>45</v>
      </c>
      <c r="D759">
        <v>14090</v>
      </c>
      <c r="E759" s="143">
        <v>80000</v>
      </c>
      <c r="F759" s="117">
        <v>1403</v>
      </c>
      <c r="G759" s="321" t="s">
        <v>297</v>
      </c>
      <c r="H759" s="144">
        <f>bargiri[[#This Row],[میزان بارگیری شده]]*bargiri[[#This Row],[فی]]</f>
        <v>1127200000</v>
      </c>
      <c r="I759" s="321">
        <f>IF(year=bargiri[[#This Row],[سال]],1,0)</f>
        <v>0</v>
      </c>
      <c r="X759" s="1"/>
      <c r="Y759" s="1"/>
      <c r="Z759" s="1"/>
    </row>
    <row r="760" spans="1:26" ht="18.600000000000001" hidden="1" x14ac:dyDescent="0.25">
      <c r="A760" s="321" t="s">
        <v>203</v>
      </c>
      <c r="B760" s="321" t="s">
        <v>103</v>
      </c>
      <c r="C760" s="318" t="s">
        <v>30</v>
      </c>
      <c r="D760">
        <v>7430</v>
      </c>
      <c r="E760" s="143">
        <v>70000</v>
      </c>
      <c r="F760" s="117">
        <v>1403</v>
      </c>
      <c r="G760" s="321" t="s">
        <v>297</v>
      </c>
      <c r="H760" s="144">
        <f>bargiri[[#This Row],[میزان بارگیری شده]]*bargiri[[#This Row],[فی]]</f>
        <v>520100000</v>
      </c>
      <c r="I760" s="321">
        <f>IF(year=bargiri[[#This Row],[سال]],1,0)</f>
        <v>0</v>
      </c>
      <c r="X760" s="1"/>
      <c r="Y760" s="1"/>
      <c r="Z760" s="1"/>
    </row>
    <row r="761" spans="1:26" ht="18.600000000000001" hidden="1" x14ac:dyDescent="0.25">
      <c r="A761" s="321" t="s">
        <v>203</v>
      </c>
      <c r="B761" s="321" t="s">
        <v>101</v>
      </c>
      <c r="C761" s="318" t="s">
        <v>17</v>
      </c>
      <c r="D761">
        <v>19975</v>
      </c>
      <c r="E761" s="143">
        <v>65000</v>
      </c>
      <c r="F761" s="117">
        <v>1403</v>
      </c>
      <c r="G761" s="321" t="s">
        <v>297</v>
      </c>
      <c r="H761" s="144">
        <f>bargiri[[#This Row],[میزان بارگیری شده]]*bargiri[[#This Row],[فی]]</f>
        <v>1298375000</v>
      </c>
      <c r="I761" s="321">
        <f>IF(year=bargiri[[#This Row],[سال]],1,0)</f>
        <v>0</v>
      </c>
      <c r="X761" s="1"/>
      <c r="Y761" s="1"/>
      <c r="Z761" s="1"/>
    </row>
    <row r="762" spans="1:26" ht="18.600000000000001" hidden="1" x14ac:dyDescent="0.25">
      <c r="A762" s="321" t="s">
        <v>203</v>
      </c>
      <c r="B762" s="321" t="s">
        <v>106</v>
      </c>
      <c r="C762" s="318" t="s">
        <v>46</v>
      </c>
      <c r="D762">
        <v>19960</v>
      </c>
      <c r="E762" s="143">
        <v>70000</v>
      </c>
      <c r="F762" s="117">
        <v>1403</v>
      </c>
      <c r="G762" s="321" t="s">
        <v>297</v>
      </c>
      <c r="H762" s="144">
        <f>bargiri[[#This Row],[میزان بارگیری شده]]*bargiri[[#This Row],[فی]]</f>
        <v>1397200000</v>
      </c>
      <c r="I762" s="321">
        <f>IF(year=bargiri[[#This Row],[سال]],1,0)</f>
        <v>0</v>
      </c>
      <c r="X762" s="1"/>
      <c r="Y762" s="1"/>
      <c r="Z762" s="1"/>
    </row>
    <row r="763" spans="1:26" ht="18.600000000000001" hidden="1" x14ac:dyDescent="0.25">
      <c r="A763" s="321" t="s">
        <v>203</v>
      </c>
      <c r="B763" s="321" t="s">
        <v>106</v>
      </c>
      <c r="C763" s="318" t="s">
        <v>45</v>
      </c>
      <c r="D763">
        <v>130</v>
      </c>
      <c r="E763" s="143">
        <v>80000</v>
      </c>
      <c r="F763" s="117">
        <v>1403</v>
      </c>
      <c r="G763" s="321" t="s">
        <v>297</v>
      </c>
      <c r="H763" s="144">
        <f>bargiri[[#This Row],[میزان بارگیری شده]]*bargiri[[#This Row],[فی]]</f>
        <v>10400000</v>
      </c>
      <c r="I763" s="321">
        <f>IF(year=bargiri[[#This Row],[سال]],1,0)</f>
        <v>0</v>
      </c>
      <c r="X763" s="1"/>
      <c r="Y763" s="1"/>
      <c r="Z763" s="1"/>
    </row>
    <row r="764" spans="1:26" ht="18.600000000000001" hidden="1" x14ac:dyDescent="0.25">
      <c r="A764" s="321" t="s">
        <v>198</v>
      </c>
      <c r="B764" s="321" t="s">
        <v>110</v>
      </c>
      <c r="C764" s="318" t="s">
        <v>57</v>
      </c>
      <c r="D764">
        <v>9840</v>
      </c>
      <c r="E764" s="143">
        <v>78000</v>
      </c>
      <c r="F764" s="117">
        <v>1403</v>
      </c>
      <c r="G764" s="321" t="s">
        <v>297</v>
      </c>
      <c r="H764" s="144">
        <f>bargiri[[#This Row],[میزان بارگیری شده]]*bargiri[[#This Row],[فی]]</f>
        <v>767520000</v>
      </c>
      <c r="I764" s="321">
        <f>IF(year=bargiri[[#This Row],[سال]],1,0)</f>
        <v>0</v>
      </c>
      <c r="X764" s="1"/>
      <c r="Y764" s="1"/>
      <c r="Z764" s="1"/>
    </row>
    <row r="765" spans="1:26" ht="18.600000000000001" hidden="1" x14ac:dyDescent="0.25">
      <c r="A765" s="321" t="s">
        <v>362</v>
      </c>
      <c r="B765" s="321" t="s">
        <v>116</v>
      </c>
      <c r="C765" s="318" t="s">
        <v>77</v>
      </c>
      <c r="D765">
        <v>20105</v>
      </c>
      <c r="E765" s="143">
        <v>68500</v>
      </c>
      <c r="F765" s="117">
        <v>1403</v>
      </c>
      <c r="G765" s="321" t="s">
        <v>297</v>
      </c>
      <c r="H765" s="144">
        <f>bargiri[[#This Row],[میزان بارگیری شده]]*bargiri[[#This Row],[فی]]</f>
        <v>1377192500</v>
      </c>
      <c r="I765" s="321">
        <f>IF(year=bargiri[[#This Row],[سال]],1,0)</f>
        <v>0</v>
      </c>
      <c r="X765" s="1"/>
      <c r="Y765" s="1"/>
      <c r="Z765" s="1"/>
    </row>
    <row r="766" spans="1:26" ht="18.600000000000001" hidden="1" x14ac:dyDescent="0.25">
      <c r="A766" s="321" t="s">
        <v>363</v>
      </c>
      <c r="B766" s="321" t="s">
        <v>116</v>
      </c>
      <c r="C766" s="318" t="s">
        <v>77</v>
      </c>
      <c r="D766">
        <v>20020</v>
      </c>
      <c r="E766" s="143">
        <v>68500</v>
      </c>
      <c r="F766" s="117">
        <v>1403</v>
      </c>
      <c r="G766" s="321" t="s">
        <v>297</v>
      </c>
      <c r="H766" s="144">
        <f>bargiri[[#This Row],[میزان بارگیری شده]]*bargiri[[#This Row],[فی]]</f>
        <v>1371370000</v>
      </c>
      <c r="I766" s="321">
        <f>IF(year=bargiri[[#This Row],[سال]],1,0)</f>
        <v>0</v>
      </c>
      <c r="X766" s="1"/>
      <c r="Y766" s="1"/>
      <c r="Z766" s="1"/>
    </row>
    <row r="767" spans="1:26" ht="18.600000000000001" hidden="1" x14ac:dyDescent="0.25">
      <c r="A767" s="321" t="s">
        <v>191</v>
      </c>
      <c r="B767" s="321" t="s">
        <v>101</v>
      </c>
      <c r="C767" s="318" t="s">
        <v>19</v>
      </c>
      <c r="E767" s="143">
        <v>0</v>
      </c>
      <c r="F767" s="117">
        <v>1403</v>
      </c>
      <c r="G767" s="321" t="s">
        <v>297</v>
      </c>
      <c r="H767" s="144">
        <f>bargiri[[#This Row],[میزان بارگیری شده]]*bargiri[[#This Row],[فی]]</f>
        <v>0</v>
      </c>
      <c r="I767" s="321">
        <f>IF(year=bargiri[[#This Row],[سال]],1,0)</f>
        <v>0</v>
      </c>
      <c r="X767" s="1"/>
      <c r="Y767" s="1"/>
      <c r="Z767" s="1"/>
    </row>
    <row r="768" spans="1:26" ht="18.600000000000001" x14ac:dyDescent="0.25">
      <c r="A768" s="321" t="s">
        <v>362</v>
      </c>
      <c r="B768" s="321" t="s">
        <v>118</v>
      </c>
      <c r="C768" s="318" t="s">
        <v>84</v>
      </c>
      <c r="D768">
        <v>20885</v>
      </c>
      <c r="E768" s="143">
        <v>57273</v>
      </c>
      <c r="F768" s="117">
        <v>1403</v>
      </c>
      <c r="G768" s="321" t="s">
        <v>297</v>
      </c>
      <c r="H768" s="144">
        <f>bargiri[[#This Row],[میزان بارگیری شده]]*bargiri[[#This Row],[فی]]</f>
        <v>1196146605</v>
      </c>
      <c r="I768" s="321">
        <f>IF(year=bargiri[[#This Row],[سال]],1,0)</f>
        <v>0</v>
      </c>
      <c r="X768" s="1"/>
      <c r="Y768" s="1"/>
      <c r="Z768" s="1"/>
    </row>
    <row r="769" spans="1:26" ht="18.600000000000001" x14ac:dyDescent="0.25">
      <c r="A769" s="321" t="s">
        <v>362</v>
      </c>
      <c r="B769" s="321" t="s">
        <v>118</v>
      </c>
      <c r="C769" s="318" t="s">
        <v>84</v>
      </c>
      <c r="D769">
        <v>20740</v>
      </c>
      <c r="E769" s="143">
        <v>57273</v>
      </c>
      <c r="F769" s="117">
        <v>1403</v>
      </c>
      <c r="G769" s="321" t="s">
        <v>297</v>
      </c>
      <c r="H769" s="144">
        <f>bargiri[[#This Row],[میزان بارگیری شده]]*bargiri[[#This Row],[فی]]</f>
        <v>1187842020</v>
      </c>
      <c r="I769" s="321">
        <f>IF(year=bargiri[[#This Row],[سال]],1,0)</f>
        <v>0</v>
      </c>
      <c r="X769" s="1"/>
      <c r="Y769" s="1"/>
      <c r="Z769" s="1"/>
    </row>
    <row r="770" spans="1:26" ht="18.600000000000001" hidden="1" x14ac:dyDescent="0.25">
      <c r="A770" s="321" t="s">
        <v>362</v>
      </c>
      <c r="B770" s="321" t="s">
        <v>120</v>
      </c>
      <c r="C770" s="318" t="s">
        <v>88</v>
      </c>
      <c r="D770">
        <v>9070</v>
      </c>
      <c r="E770" s="143">
        <v>80000</v>
      </c>
      <c r="F770" s="117">
        <v>1403</v>
      </c>
      <c r="G770" s="321" t="s">
        <v>297</v>
      </c>
      <c r="H770" s="144">
        <f>bargiri[[#This Row],[میزان بارگیری شده]]*bargiri[[#This Row],[فی]]</f>
        <v>725600000</v>
      </c>
      <c r="I770" s="321">
        <f>IF(year=bargiri[[#This Row],[سال]],1,0)</f>
        <v>0</v>
      </c>
      <c r="X770" s="1"/>
      <c r="Y770" s="1"/>
      <c r="Z770" s="1"/>
    </row>
    <row r="771" spans="1:26" ht="18.600000000000001" hidden="1" x14ac:dyDescent="0.25">
      <c r="A771" s="321" t="s">
        <v>166</v>
      </c>
      <c r="B771" s="321" t="s">
        <v>102</v>
      </c>
      <c r="C771" s="318" t="s">
        <v>25</v>
      </c>
      <c r="D771">
        <v>11590</v>
      </c>
      <c r="E771" s="143">
        <v>65000</v>
      </c>
      <c r="F771" s="117">
        <v>1403</v>
      </c>
      <c r="G771" s="321" t="s">
        <v>297</v>
      </c>
      <c r="H771" s="144">
        <f>bargiri[[#This Row],[میزان بارگیری شده]]*bargiri[[#This Row],[فی]]</f>
        <v>753350000</v>
      </c>
      <c r="I771" s="321">
        <f>IF(year=bargiri[[#This Row],[سال]],1,0)</f>
        <v>0</v>
      </c>
      <c r="X771" s="1"/>
      <c r="Y771" s="1"/>
      <c r="Z771" s="1"/>
    </row>
    <row r="772" spans="1:26" ht="18.600000000000001" hidden="1" x14ac:dyDescent="0.25">
      <c r="A772" s="321" t="s">
        <v>166</v>
      </c>
      <c r="B772" s="321" t="s">
        <v>106</v>
      </c>
      <c r="C772" s="318" t="s">
        <v>46</v>
      </c>
      <c r="D772">
        <v>22010</v>
      </c>
      <c r="E772" s="143">
        <v>70000</v>
      </c>
      <c r="F772" s="117">
        <v>1403</v>
      </c>
      <c r="G772" s="321" t="s">
        <v>297</v>
      </c>
      <c r="H772" s="144">
        <f>bargiri[[#This Row],[میزان بارگیری شده]]*bargiri[[#This Row],[فی]]</f>
        <v>1540700000</v>
      </c>
      <c r="I772" s="321">
        <f>IF(year=bargiri[[#This Row],[سال]],1,0)</f>
        <v>0</v>
      </c>
      <c r="X772" s="1"/>
      <c r="Y772" s="1"/>
      <c r="Z772" s="1"/>
    </row>
    <row r="773" spans="1:26" ht="18.600000000000001" hidden="1" x14ac:dyDescent="0.25">
      <c r="A773" s="321" t="s">
        <v>166</v>
      </c>
      <c r="B773" s="321" t="s">
        <v>122</v>
      </c>
      <c r="C773" s="318" t="s">
        <v>91</v>
      </c>
      <c r="D773">
        <v>20270</v>
      </c>
      <c r="E773" s="143">
        <v>75000</v>
      </c>
      <c r="F773" s="117">
        <v>1403</v>
      </c>
      <c r="G773" s="321" t="s">
        <v>297</v>
      </c>
      <c r="H773" s="144">
        <f>bargiri[[#This Row],[میزان بارگیری شده]]*bargiri[[#This Row],[فی]]</f>
        <v>1520250000</v>
      </c>
      <c r="I773" s="321">
        <f>IF(year=bargiri[[#This Row],[سال]],1,0)</f>
        <v>0</v>
      </c>
      <c r="X773" s="1"/>
      <c r="Y773" s="1"/>
      <c r="Z773" s="1"/>
    </row>
    <row r="774" spans="1:26" ht="18.600000000000001" hidden="1" x14ac:dyDescent="0.25">
      <c r="A774" s="321" t="s">
        <v>364</v>
      </c>
      <c r="B774" s="321" t="s">
        <v>110</v>
      </c>
      <c r="C774" s="318" t="s">
        <v>57</v>
      </c>
      <c r="D774">
        <v>21115</v>
      </c>
      <c r="E774" s="143">
        <v>78000</v>
      </c>
      <c r="F774" s="117">
        <v>1403</v>
      </c>
      <c r="G774" s="321" t="s">
        <v>297</v>
      </c>
      <c r="H774" s="144">
        <f>bargiri[[#This Row],[میزان بارگیری شده]]*bargiri[[#This Row],[فی]]</f>
        <v>1646970000</v>
      </c>
      <c r="I774" s="321">
        <f>IF(year=bargiri[[#This Row],[سال]],1,0)</f>
        <v>0</v>
      </c>
      <c r="X774" s="1"/>
      <c r="Y774" s="1"/>
      <c r="Z774" s="1"/>
    </row>
    <row r="775" spans="1:26" ht="18.600000000000001" hidden="1" x14ac:dyDescent="0.25">
      <c r="A775" s="321" t="s">
        <v>364</v>
      </c>
      <c r="B775" s="321" t="s">
        <v>113</v>
      </c>
      <c r="C775" s="318" t="s">
        <v>61</v>
      </c>
      <c r="D775">
        <v>18895</v>
      </c>
      <c r="E775" s="143">
        <v>75000</v>
      </c>
      <c r="F775" s="117">
        <v>1403</v>
      </c>
      <c r="G775" s="321" t="s">
        <v>297</v>
      </c>
      <c r="H775" s="144">
        <f>bargiri[[#This Row],[میزان بارگیری شده]]*bargiri[[#This Row],[فی]]</f>
        <v>1417125000</v>
      </c>
      <c r="I775" s="321">
        <f>IF(year=bargiri[[#This Row],[سال]],1,0)</f>
        <v>0</v>
      </c>
      <c r="X775" s="1"/>
      <c r="Y775" s="1"/>
      <c r="Z775" s="1"/>
    </row>
    <row r="776" spans="1:26" ht="18.600000000000001" hidden="1" x14ac:dyDescent="0.25">
      <c r="A776" s="321" t="s">
        <v>363</v>
      </c>
      <c r="B776" s="321" t="s">
        <v>106</v>
      </c>
      <c r="C776" s="318" t="s">
        <v>46</v>
      </c>
      <c r="D776">
        <v>18000</v>
      </c>
      <c r="E776" s="143">
        <v>70000</v>
      </c>
      <c r="F776" s="117">
        <v>1403</v>
      </c>
      <c r="G776" s="321" t="s">
        <v>297</v>
      </c>
      <c r="H776" s="144">
        <f>bargiri[[#This Row],[میزان بارگیری شده]]*bargiri[[#This Row],[فی]]</f>
        <v>1260000000</v>
      </c>
      <c r="I776" s="321">
        <f>IF(year=bargiri[[#This Row],[سال]],1,0)</f>
        <v>0</v>
      </c>
      <c r="X776" s="1"/>
      <c r="Y776" s="1"/>
      <c r="Z776" s="1"/>
    </row>
    <row r="777" spans="1:26" ht="18.600000000000001" hidden="1" x14ac:dyDescent="0.25">
      <c r="A777" s="321" t="s">
        <v>363</v>
      </c>
      <c r="B777" s="321" t="s">
        <v>107</v>
      </c>
      <c r="C777" s="318" t="s">
        <v>50</v>
      </c>
      <c r="D777">
        <v>18980</v>
      </c>
      <c r="E777" s="143">
        <v>70000</v>
      </c>
      <c r="F777" s="117">
        <v>1403</v>
      </c>
      <c r="G777" s="321" t="s">
        <v>297</v>
      </c>
      <c r="H777" s="144">
        <f>bargiri[[#This Row],[میزان بارگیری شده]]*bargiri[[#This Row],[فی]]</f>
        <v>1328600000</v>
      </c>
      <c r="I777" s="321">
        <f>IF(year=bargiri[[#This Row],[سال]],1,0)</f>
        <v>0</v>
      </c>
      <c r="X777" s="1"/>
      <c r="Y777" s="1"/>
      <c r="Z777" s="1"/>
    </row>
    <row r="778" spans="1:26" ht="18.600000000000001" hidden="1" x14ac:dyDescent="0.25">
      <c r="A778" s="321" t="s">
        <v>363</v>
      </c>
      <c r="B778" s="321" t="s">
        <v>120</v>
      </c>
      <c r="C778" s="318" t="s">
        <v>88</v>
      </c>
      <c r="D778">
        <v>9075</v>
      </c>
      <c r="E778" s="143">
        <v>80000</v>
      </c>
      <c r="F778" s="117">
        <v>1403</v>
      </c>
      <c r="G778" s="321" t="s">
        <v>297</v>
      </c>
      <c r="H778" s="144">
        <f>bargiri[[#This Row],[میزان بارگیری شده]]*bargiri[[#This Row],[فی]]</f>
        <v>726000000</v>
      </c>
      <c r="I778" s="321">
        <f>IF(year=bargiri[[#This Row],[سال]],1,0)</f>
        <v>0</v>
      </c>
      <c r="X778" s="1"/>
      <c r="Y778" s="1"/>
      <c r="Z778" s="1"/>
    </row>
    <row r="779" spans="1:26" ht="18.600000000000001" x14ac:dyDescent="0.25">
      <c r="A779" s="321" t="s">
        <v>363</v>
      </c>
      <c r="B779" s="321" t="s">
        <v>118</v>
      </c>
      <c r="C779" s="318" t="s">
        <v>84</v>
      </c>
      <c r="D779">
        <v>21020</v>
      </c>
      <c r="E779" s="143">
        <v>57273</v>
      </c>
      <c r="F779" s="117">
        <v>1403</v>
      </c>
      <c r="G779" s="321" t="s">
        <v>297</v>
      </c>
      <c r="H779" s="144">
        <f>bargiri[[#This Row],[میزان بارگیری شده]]*bargiri[[#This Row],[فی]]</f>
        <v>1203878460</v>
      </c>
      <c r="I779" s="321">
        <f>IF(year=bargiri[[#This Row],[سال]],1,0)</f>
        <v>0</v>
      </c>
      <c r="X779" s="1"/>
      <c r="Y779" s="1"/>
      <c r="Z779" s="1"/>
    </row>
    <row r="780" spans="1:26" ht="18.600000000000001" x14ac:dyDescent="0.25">
      <c r="A780" s="321" t="s">
        <v>363</v>
      </c>
      <c r="B780" s="321" t="s">
        <v>118</v>
      </c>
      <c r="C780" s="318" t="s">
        <v>84</v>
      </c>
      <c r="D780">
        <v>20910</v>
      </c>
      <c r="E780" s="143">
        <v>57273</v>
      </c>
      <c r="F780" s="117">
        <v>1403</v>
      </c>
      <c r="G780" s="321" t="s">
        <v>297</v>
      </c>
      <c r="H780" s="144">
        <f>bargiri[[#This Row],[میزان بارگیری شده]]*bargiri[[#This Row],[فی]]</f>
        <v>1197578430</v>
      </c>
      <c r="I780" s="321">
        <f>IF(year=bargiri[[#This Row],[سال]],1,0)</f>
        <v>0</v>
      </c>
      <c r="X780" s="1"/>
      <c r="Y780" s="1"/>
      <c r="Z780" s="1"/>
    </row>
    <row r="781" spans="1:26" ht="18.600000000000001" hidden="1" x14ac:dyDescent="0.25">
      <c r="A781" s="321" t="s">
        <v>191</v>
      </c>
      <c r="B781" s="321" t="s">
        <v>106</v>
      </c>
      <c r="C781" s="318" t="s">
        <v>46</v>
      </c>
      <c r="D781">
        <v>18125</v>
      </c>
      <c r="E781" s="143">
        <v>70000</v>
      </c>
      <c r="F781" s="117">
        <v>1403</v>
      </c>
      <c r="G781" s="321" t="s">
        <v>297</v>
      </c>
      <c r="H781" s="144">
        <f>bargiri[[#This Row],[میزان بارگیری شده]]*bargiri[[#This Row],[فی]]</f>
        <v>1268750000</v>
      </c>
      <c r="I781" s="321">
        <f>IF(year=bargiri[[#This Row],[سال]],1,0)</f>
        <v>0</v>
      </c>
      <c r="X781" s="1"/>
      <c r="Y781" s="1"/>
      <c r="Z781" s="1"/>
    </row>
    <row r="782" spans="1:26" ht="18.600000000000001" hidden="1" x14ac:dyDescent="0.25">
      <c r="A782" s="321" t="s">
        <v>191</v>
      </c>
      <c r="B782" s="321" t="s">
        <v>114</v>
      </c>
      <c r="C782" s="318" t="s">
        <v>63</v>
      </c>
      <c r="D782">
        <v>22100</v>
      </c>
      <c r="E782" s="143">
        <v>75000</v>
      </c>
      <c r="F782" s="117">
        <v>1403</v>
      </c>
      <c r="G782" s="321" t="s">
        <v>297</v>
      </c>
      <c r="H782" s="144">
        <f>bargiri[[#This Row],[میزان بارگیری شده]]*bargiri[[#This Row],[فی]]</f>
        <v>1657500000</v>
      </c>
      <c r="I782" s="321">
        <f>IF(year=bargiri[[#This Row],[سال]],1,0)</f>
        <v>0</v>
      </c>
      <c r="X782" s="1"/>
      <c r="Y782" s="1"/>
      <c r="Z782" s="1"/>
    </row>
    <row r="783" spans="1:26" ht="18.600000000000001" hidden="1" x14ac:dyDescent="0.25">
      <c r="A783" s="321" t="s">
        <v>365</v>
      </c>
      <c r="B783" s="321" t="s">
        <v>107</v>
      </c>
      <c r="C783" s="318" t="s">
        <v>50</v>
      </c>
      <c r="D783">
        <v>19045</v>
      </c>
      <c r="E783" s="143">
        <v>70000</v>
      </c>
      <c r="F783" s="117">
        <v>1403</v>
      </c>
      <c r="G783" s="321" t="s">
        <v>297</v>
      </c>
      <c r="H783" s="144">
        <f>bargiri[[#This Row],[میزان بارگیری شده]]*bargiri[[#This Row],[فی]]</f>
        <v>1333150000</v>
      </c>
      <c r="I783" s="321">
        <f>IF(year=bargiri[[#This Row],[سال]],1,0)</f>
        <v>0</v>
      </c>
      <c r="X783" s="1"/>
      <c r="Y783" s="1"/>
      <c r="Z783" s="1"/>
    </row>
    <row r="784" spans="1:26" ht="18.600000000000001" hidden="1" x14ac:dyDescent="0.25">
      <c r="A784" s="321" t="s">
        <v>365</v>
      </c>
      <c r="B784" s="321" t="s">
        <v>120</v>
      </c>
      <c r="C784" s="318" t="s">
        <v>88</v>
      </c>
      <c r="D784">
        <v>8985</v>
      </c>
      <c r="E784" s="143">
        <v>80000</v>
      </c>
      <c r="F784" s="117">
        <v>1403</v>
      </c>
      <c r="G784" s="321" t="s">
        <v>297</v>
      </c>
      <c r="H784" s="144">
        <f>bargiri[[#This Row],[میزان بارگیری شده]]*bargiri[[#This Row],[فی]]</f>
        <v>718800000</v>
      </c>
      <c r="I784" s="321">
        <f>IF(year=bargiri[[#This Row],[سال]],1,0)</f>
        <v>0</v>
      </c>
      <c r="X784" s="1"/>
      <c r="Y784" s="1"/>
      <c r="Z784" s="1"/>
    </row>
    <row r="785" spans="1:26" ht="18.600000000000001" hidden="1" x14ac:dyDescent="0.25">
      <c r="A785" s="321" t="s">
        <v>365</v>
      </c>
      <c r="B785" s="321" t="s">
        <v>111</v>
      </c>
      <c r="C785" s="318" t="s">
        <v>59</v>
      </c>
      <c r="D785">
        <v>9950</v>
      </c>
      <c r="E785" s="143">
        <v>80000</v>
      </c>
      <c r="F785" s="117">
        <v>1403</v>
      </c>
      <c r="G785" s="321" t="s">
        <v>297</v>
      </c>
      <c r="H785" s="144">
        <f>bargiri[[#This Row],[میزان بارگیری شده]]*bargiri[[#This Row],[فی]]</f>
        <v>796000000</v>
      </c>
      <c r="I785" s="321">
        <f>IF(year=bargiri[[#This Row],[سال]],1,0)</f>
        <v>0</v>
      </c>
      <c r="X785" s="1"/>
      <c r="Y785" s="1"/>
      <c r="Z785" s="1"/>
    </row>
    <row r="786" spans="1:26" ht="18.600000000000001" hidden="1" x14ac:dyDescent="0.25">
      <c r="A786" s="321" t="s">
        <v>365</v>
      </c>
      <c r="B786" s="321" t="s">
        <v>122</v>
      </c>
      <c r="C786" s="318" t="s">
        <v>91</v>
      </c>
      <c r="D786">
        <v>10065</v>
      </c>
      <c r="E786" s="143">
        <v>75000</v>
      </c>
      <c r="F786" s="117">
        <v>1403</v>
      </c>
      <c r="G786" s="321" t="s">
        <v>297</v>
      </c>
      <c r="H786" s="144">
        <f>bargiri[[#This Row],[میزان بارگیری شده]]*bargiri[[#This Row],[فی]]</f>
        <v>754875000</v>
      </c>
      <c r="I786" s="321">
        <f>IF(year=bargiri[[#This Row],[سال]],1,0)</f>
        <v>0</v>
      </c>
      <c r="X786" s="1"/>
      <c r="Y786" s="1"/>
      <c r="Z786" s="1"/>
    </row>
    <row r="787" spans="1:26" ht="18.600000000000001" hidden="1" x14ac:dyDescent="0.25">
      <c r="A787" s="321" t="s">
        <v>365</v>
      </c>
      <c r="B787" s="321" t="s">
        <v>106</v>
      </c>
      <c r="C787" s="318" t="s">
        <v>46</v>
      </c>
      <c r="D787">
        <v>18115</v>
      </c>
      <c r="E787" s="143">
        <v>70000</v>
      </c>
      <c r="F787" s="117">
        <v>1403</v>
      </c>
      <c r="G787" s="321" t="s">
        <v>297</v>
      </c>
      <c r="H787" s="144">
        <f>bargiri[[#This Row],[میزان بارگیری شده]]*bargiri[[#This Row],[فی]]</f>
        <v>1268050000</v>
      </c>
      <c r="I787" s="321">
        <f>IF(year=bargiri[[#This Row],[سال]],1,0)</f>
        <v>0</v>
      </c>
      <c r="X787" s="1"/>
      <c r="Y787" s="1"/>
      <c r="Z787" s="1"/>
    </row>
    <row r="788" spans="1:26" ht="18.600000000000001" hidden="1" x14ac:dyDescent="0.25">
      <c r="A788" s="321" t="s">
        <v>172</v>
      </c>
      <c r="B788" s="321" t="s">
        <v>116</v>
      </c>
      <c r="C788" s="318" t="s">
        <v>77</v>
      </c>
      <c r="D788">
        <v>19095</v>
      </c>
      <c r="E788" s="143">
        <v>68500</v>
      </c>
      <c r="F788" s="117">
        <v>1403</v>
      </c>
      <c r="G788" s="321" t="s">
        <v>297</v>
      </c>
      <c r="H788" s="144">
        <f>bargiri[[#This Row],[میزان بارگیری شده]]*bargiri[[#This Row],[فی]]</f>
        <v>1308007500</v>
      </c>
      <c r="I788" s="321">
        <f>IF(year=bargiri[[#This Row],[سال]],1,0)</f>
        <v>0</v>
      </c>
      <c r="X788" s="1"/>
      <c r="Y788" s="1"/>
      <c r="Z788" s="1"/>
    </row>
    <row r="789" spans="1:26" ht="18.600000000000001" hidden="1" x14ac:dyDescent="0.25">
      <c r="A789" s="321" t="s">
        <v>172</v>
      </c>
      <c r="B789" s="321" t="s">
        <v>106</v>
      </c>
      <c r="C789" s="318" t="s">
        <v>46</v>
      </c>
      <c r="D789">
        <v>17950</v>
      </c>
      <c r="E789" s="143">
        <v>70000</v>
      </c>
      <c r="F789" s="117">
        <v>1403</v>
      </c>
      <c r="G789" s="321" t="s">
        <v>297</v>
      </c>
      <c r="H789" s="144">
        <f>bargiri[[#This Row],[میزان بارگیری شده]]*bargiri[[#This Row],[فی]]</f>
        <v>1256500000</v>
      </c>
      <c r="I789" s="321">
        <f>IF(year=bargiri[[#This Row],[سال]],1,0)</f>
        <v>0</v>
      </c>
      <c r="X789" s="1"/>
      <c r="Y789" s="1"/>
      <c r="Z789" s="1"/>
    </row>
    <row r="790" spans="1:26" ht="18.600000000000001" hidden="1" x14ac:dyDescent="0.25">
      <c r="A790" s="321" t="s">
        <v>172</v>
      </c>
      <c r="B790" s="321" t="s">
        <v>102</v>
      </c>
      <c r="C790" s="318" t="s">
        <v>25</v>
      </c>
      <c r="D790">
        <v>7065</v>
      </c>
      <c r="E790" s="143">
        <v>65000</v>
      </c>
      <c r="F790" s="117">
        <v>1403</v>
      </c>
      <c r="G790" s="321" t="s">
        <v>297</v>
      </c>
      <c r="H790" s="144">
        <f>bargiri[[#This Row],[میزان بارگیری شده]]*bargiri[[#This Row],[فی]]</f>
        <v>459225000</v>
      </c>
      <c r="I790" s="321">
        <f>IF(year=bargiri[[#This Row],[سال]],1,0)</f>
        <v>0</v>
      </c>
      <c r="X790" s="1"/>
      <c r="Y790" s="1"/>
      <c r="Z790" s="1"/>
    </row>
    <row r="791" spans="1:26" ht="18.600000000000001" hidden="1" x14ac:dyDescent="0.25">
      <c r="A791" s="321" t="s">
        <v>172</v>
      </c>
      <c r="B791" s="321" t="s">
        <v>103</v>
      </c>
      <c r="C791" s="318" t="s">
        <v>30</v>
      </c>
      <c r="D791">
        <v>7460</v>
      </c>
      <c r="E791" s="143">
        <v>70000</v>
      </c>
      <c r="F791" s="117">
        <v>1403</v>
      </c>
      <c r="G791" s="321" t="s">
        <v>297</v>
      </c>
      <c r="H791" s="144">
        <f>bargiri[[#This Row],[میزان بارگیری شده]]*bargiri[[#This Row],[فی]]</f>
        <v>522200000</v>
      </c>
      <c r="I791" s="321">
        <f>IF(year=bargiri[[#This Row],[سال]],1,0)</f>
        <v>0</v>
      </c>
      <c r="X791" s="1"/>
      <c r="Y791" s="1"/>
      <c r="Z791" s="1"/>
    </row>
    <row r="792" spans="1:26" ht="18.600000000000001" hidden="1" x14ac:dyDescent="0.25">
      <c r="A792" s="321" t="s">
        <v>172</v>
      </c>
      <c r="B792" s="321" t="s">
        <v>98</v>
      </c>
      <c r="C792" s="318" t="s">
        <v>8</v>
      </c>
      <c r="D792">
        <v>20180</v>
      </c>
      <c r="E792" s="143">
        <v>72000</v>
      </c>
      <c r="F792" s="117">
        <v>1403</v>
      </c>
      <c r="G792" s="321" t="s">
        <v>297</v>
      </c>
      <c r="H792" s="144">
        <f>bargiri[[#This Row],[میزان بارگیری شده]]*bargiri[[#This Row],[فی]]</f>
        <v>1452960000</v>
      </c>
      <c r="I792" s="321">
        <f>IF(year=bargiri[[#This Row],[سال]],1,0)</f>
        <v>0</v>
      </c>
      <c r="X792" s="1"/>
      <c r="Y792" s="1"/>
      <c r="Z792" s="1"/>
    </row>
    <row r="793" spans="1:26" ht="18.600000000000001" hidden="1" x14ac:dyDescent="0.25">
      <c r="A793" s="321" t="s">
        <v>172</v>
      </c>
      <c r="B793" s="321" t="s">
        <v>113</v>
      </c>
      <c r="C793" s="318" t="s">
        <v>61</v>
      </c>
      <c r="D793">
        <v>20305</v>
      </c>
      <c r="E793" s="143">
        <v>75000</v>
      </c>
      <c r="F793" s="117">
        <v>1403</v>
      </c>
      <c r="G793" s="321" t="s">
        <v>297</v>
      </c>
      <c r="H793" s="144">
        <f>bargiri[[#This Row],[میزان بارگیری شده]]*bargiri[[#This Row],[فی]]</f>
        <v>1522875000</v>
      </c>
      <c r="I793" s="321">
        <f>IF(year=bargiri[[#This Row],[سال]],1,0)</f>
        <v>0</v>
      </c>
      <c r="X793" s="1"/>
      <c r="Y793" s="1"/>
      <c r="Z793" s="1"/>
    </row>
    <row r="794" spans="1:26" ht="18.600000000000001" hidden="1" x14ac:dyDescent="0.25">
      <c r="A794" s="321" t="s">
        <v>366</v>
      </c>
      <c r="B794" s="321" t="s">
        <v>116</v>
      </c>
      <c r="C794" s="318" t="s">
        <v>77</v>
      </c>
      <c r="D794">
        <v>20115</v>
      </c>
      <c r="E794" s="143">
        <v>68500</v>
      </c>
      <c r="F794" s="117">
        <v>1403</v>
      </c>
      <c r="G794" s="321" t="s">
        <v>297</v>
      </c>
      <c r="H794" s="144">
        <f>bargiri[[#This Row],[میزان بارگیری شده]]*bargiri[[#This Row],[فی]]</f>
        <v>1377877500</v>
      </c>
      <c r="I794" s="321">
        <f>IF(year=bargiri[[#This Row],[سال]],1,0)</f>
        <v>0</v>
      </c>
      <c r="X794" s="1"/>
      <c r="Y794" s="1"/>
      <c r="Z794" s="1"/>
    </row>
    <row r="795" spans="1:26" ht="18.600000000000001" hidden="1" x14ac:dyDescent="0.25">
      <c r="A795" s="321" t="s">
        <v>366</v>
      </c>
      <c r="B795" s="321" t="s">
        <v>107</v>
      </c>
      <c r="C795" s="318" t="s">
        <v>50</v>
      </c>
      <c r="D795">
        <v>18980</v>
      </c>
      <c r="E795" s="143">
        <v>70000</v>
      </c>
      <c r="F795" s="117">
        <v>1403</v>
      </c>
      <c r="G795" s="321" t="s">
        <v>297</v>
      </c>
      <c r="H795" s="144">
        <f>bargiri[[#This Row],[میزان بارگیری شده]]*bargiri[[#This Row],[فی]]</f>
        <v>1328600000</v>
      </c>
      <c r="I795" s="321">
        <f>IF(year=bargiri[[#This Row],[سال]],1,0)</f>
        <v>0</v>
      </c>
      <c r="X795" s="1"/>
      <c r="Y795" s="1"/>
      <c r="Z795" s="1"/>
    </row>
    <row r="796" spans="1:26" ht="18.600000000000001" hidden="1" x14ac:dyDescent="0.25">
      <c r="A796" s="321" t="s">
        <v>366</v>
      </c>
      <c r="B796" s="321" t="s">
        <v>111</v>
      </c>
      <c r="C796" s="318" t="s">
        <v>59</v>
      </c>
      <c r="D796">
        <v>9855</v>
      </c>
      <c r="E796" s="143">
        <v>80000</v>
      </c>
      <c r="F796" s="117">
        <v>1403</v>
      </c>
      <c r="G796" s="321" t="s">
        <v>297</v>
      </c>
      <c r="H796" s="144">
        <f>bargiri[[#This Row],[میزان بارگیری شده]]*bargiri[[#This Row],[فی]]</f>
        <v>788400000</v>
      </c>
      <c r="I796" s="321">
        <f>IF(year=bargiri[[#This Row],[سال]],1,0)</f>
        <v>0</v>
      </c>
      <c r="X796" s="1"/>
      <c r="Y796" s="1"/>
      <c r="Z796" s="1"/>
    </row>
    <row r="797" spans="1:26" ht="18.600000000000001" hidden="1" x14ac:dyDescent="0.25">
      <c r="A797" s="321" t="s">
        <v>367</v>
      </c>
      <c r="B797" s="321" t="s">
        <v>114</v>
      </c>
      <c r="C797" s="318" t="s">
        <v>63</v>
      </c>
      <c r="D797">
        <v>21985</v>
      </c>
      <c r="E797" s="143">
        <v>75000</v>
      </c>
      <c r="F797" s="117">
        <v>1403</v>
      </c>
      <c r="G797" s="321" t="s">
        <v>297</v>
      </c>
      <c r="H797" s="144">
        <f>bargiri[[#This Row],[میزان بارگیری شده]]*bargiri[[#This Row],[فی]]</f>
        <v>1648875000</v>
      </c>
      <c r="I797" s="321">
        <f>IF(year=bargiri[[#This Row],[سال]],1,0)</f>
        <v>0</v>
      </c>
      <c r="X797" s="1"/>
      <c r="Y797" s="1"/>
      <c r="Z797" s="1"/>
    </row>
    <row r="798" spans="1:26" ht="18.600000000000001" hidden="1" x14ac:dyDescent="0.25">
      <c r="A798" s="321" t="s">
        <v>367</v>
      </c>
      <c r="B798" s="321" t="s">
        <v>122</v>
      </c>
      <c r="C798" s="318" t="s">
        <v>91</v>
      </c>
      <c r="D798">
        <v>20165</v>
      </c>
      <c r="E798" s="143">
        <v>75000</v>
      </c>
      <c r="F798" s="117">
        <v>1403</v>
      </c>
      <c r="G798" s="321" t="s">
        <v>297</v>
      </c>
      <c r="H798" s="144">
        <f>bargiri[[#This Row],[میزان بارگیری شده]]*bargiri[[#This Row],[فی]]</f>
        <v>1512375000</v>
      </c>
      <c r="I798" s="321">
        <f>IF(year=bargiri[[#This Row],[سال]],1,0)</f>
        <v>0</v>
      </c>
      <c r="X798" s="1"/>
      <c r="Y798" s="1"/>
      <c r="Z798" s="1"/>
    </row>
    <row r="799" spans="1:26" ht="18.600000000000001" x14ac:dyDescent="0.25">
      <c r="A799" s="321" t="s">
        <v>368</v>
      </c>
      <c r="B799" s="321" t="s">
        <v>118</v>
      </c>
      <c r="C799" s="318" t="s">
        <v>84</v>
      </c>
      <c r="D799">
        <v>20440</v>
      </c>
      <c r="E799" s="143">
        <v>57273</v>
      </c>
      <c r="F799" s="117">
        <v>1403</v>
      </c>
      <c r="G799" s="321" t="s">
        <v>297</v>
      </c>
      <c r="H799" s="144">
        <f>bargiri[[#This Row],[میزان بارگیری شده]]*bargiri[[#This Row],[فی]]</f>
        <v>1170660120</v>
      </c>
      <c r="I799" s="321">
        <f>IF(year=bargiri[[#This Row],[سال]],1,0)</f>
        <v>0</v>
      </c>
      <c r="X799" s="1"/>
      <c r="Y799" s="1"/>
      <c r="Z799" s="1"/>
    </row>
    <row r="800" spans="1:26" ht="18.600000000000001" x14ac:dyDescent="0.25">
      <c r="A800" s="321" t="s">
        <v>368</v>
      </c>
      <c r="B800" s="321" t="s">
        <v>118</v>
      </c>
      <c r="C800" s="318" t="s">
        <v>84</v>
      </c>
      <c r="D800">
        <v>20745</v>
      </c>
      <c r="E800" s="143">
        <v>57273</v>
      </c>
      <c r="F800" s="117">
        <v>1403</v>
      </c>
      <c r="G800" s="321" t="s">
        <v>297</v>
      </c>
      <c r="H800" s="144">
        <f>bargiri[[#This Row],[میزان بارگیری شده]]*bargiri[[#This Row],[فی]]</f>
        <v>1188128385</v>
      </c>
      <c r="I800" s="321">
        <f>IF(year=bargiri[[#This Row],[سال]],1,0)</f>
        <v>0</v>
      </c>
      <c r="X800" s="1"/>
      <c r="Y800" s="1"/>
      <c r="Z800" s="1"/>
    </row>
    <row r="801" spans="1:26" ht="18.600000000000001" x14ac:dyDescent="0.25">
      <c r="A801" s="321" t="s">
        <v>368</v>
      </c>
      <c r="B801" s="321" t="s">
        <v>118</v>
      </c>
      <c r="C801" s="318" t="s">
        <v>84</v>
      </c>
      <c r="D801">
        <v>20485</v>
      </c>
      <c r="E801" s="143">
        <v>57273</v>
      </c>
      <c r="F801" s="117">
        <v>1403</v>
      </c>
      <c r="G801" s="321" t="s">
        <v>297</v>
      </c>
      <c r="H801" s="144">
        <f>bargiri[[#This Row],[میزان بارگیری شده]]*bargiri[[#This Row],[فی]]</f>
        <v>1173237405</v>
      </c>
      <c r="I801" s="321">
        <f>IF(year=bargiri[[#This Row],[سال]],1,0)</f>
        <v>0</v>
      </c>
      <c r="X801" s="1"/>
      <c r="Y801" s="1"/>
      <c r="Z801" s="1"/>
    </row>
    <row r="802" spans="1:26" ht="18.600000000000001" hidden="1" x14ac:dyDescent="0.25">
      <c r="A802" s="321" t="s">
        <v>368</v>
      </c>
      <c r="B802" s="321" t="s">
        <v>120</v>
      </c>
      <c r="C802" s="318" t="s">
        <v>88</v>
      </c>
      <c r="D802">
        <v>9025</v>
      </c>
      <c r="E802" s="143">
        <v>80000</v>
      </c>
      <c r="F802" s="117">
        <v>1403</v>
      </c>
      <c r="G802" s="321" t="s">
        <v>297</v>
      </c>
      <c r="H802" s="144">
        <f>bargiri[[#This Row],[میزان بارگیری شده]]*bargiri[[#This Row],[فی]]</f>
        <v>722000000</v>
      </c>
      <c r="I802" s="321">
        <f>IF(year=bargiri[[#This Row],[سال]],1,0)</f>
        <v>0</v>
      </c>
      <c r="X802" s="1"/>
      <c r="Y802" s="1"/>
      <c r="Z802" s="1"/>
    </row>
    <row r="803" spans="1:26" ht="18.600000000000001" hidden="1" x14ac:dyDescent="0.25">
      <c r="A803" s="321" t="s">
        <v>368</v>
      </c>
      <c r="B803" s="321" t="s">
        <v>107</v>
      </c>
      <c r="C803" s="318" t="s">
        <v>50</v>
      </c>
      <c r="D803">
        <v>18910</v>
      </c>
      <c r="E803" s="143">
        <v>70000</v>
      </c>
      <c r="F803" s="117">
        <v>1403</v>
      </c>
      <c r="G803" s="321" t="s">
        <v>297</v>
      </c>
      <c r="H803" s="144">
        <f>bargiri[[#This Row],[میزان بارگیری شده]]*bargiri[[#This Row],[فی]]</f>
        <v>1323700000</v>
      </c>
      <c r="I803" s="321">
        <f>IF(year=bargiri[[#This Row],[سال]],1,0)</f>
        <v>0</v>
      </c>
      <c r="X803" s="1"/>
      <c r="Y803" s="1"/>
      <c r="Z803" s="1"/>
    </row>
    <row r="804" spans="1:26" ht="18.600000000000001" hidden="1" x14ac:dyDescent="0.25">
      <c r="A804" s="321" t="s">
        <v>368</v>
      </c>
      <c r="B804" s="321" t="s">
        <v>106</v>
      </c>
      <c r="C804" s="318" t="s">
        <v>46</v>
      </c>
      <c r="D804">
        <v>20025</v>
      </c>
      <c r="E804" s="143">
        <v>70000</v>
      </c>
      <c r="F804" s="117">
        <v>1403</v>
      </c>
      <c r="G804" s="321" t="s">
        <v>297</v>
      </c>
      <c r="H804" s="144">
        <f>bargiri[[#This Row],[میزان بارگیری شده]]*bargiri[[#This Row],[فی]]</f>
        <v>1401750000</v>
      </c>
      <c r="I804" s="321">
        <f>IF(year=bargiri[[#This Row],[سال]],1,0)</f>
        <v>0</v>
      </c>
      <c r="X804" s="1"/>
      <c r="Y804" s="1"/>
      <c r="Z804" s="1"/>
    </row>
    <row r="805" spans="1:26" ht="18.600000000000001" x14ac:dyDescent="0.25">
      <c r="A805" s="321" t="s">
        <v>368</v>
      </c>
      <c r="B805" s="321" t="s">
        <v>118</v>
      </c>
      <c r="C805" s="318" t="s">
        <v>84</v>
      </c>
      <c r="D805">
        <v>20800</v>
      </c>
      <c r="E805" s="143">
        <v>57273</v>
      </c>
      <c r="F805" s="117">
        <v>1403</v>
      </c>
      <c r="G805" s="321" t="s">
        <v>297</v>
      </c>
      <c r="H805" s="144">
        <f>bargiri[[#This Row],[میزان بارگیری شده]]*bargiri[[#This Row],[فی]]</f>
        <v>1191278400</v>
      </c>
      <c r="I805" s="321">
        <f>IF(year=bargiri[[#This Row],[سال]],1,0)</f>
        <v>0</v>
      </c>
      <c r="X805" s="1"/>
      <c r="Y805" s="1"/>
      <c r="Z805" s="1"/>
    </row>
    <row r="806" spans="1:26" ht="18.600000000000001" x14ac:dyDescent="0.25">
      <c r="A806" s="321" t="s">
        <v>368</v>
      </c>
      <c r="B806" s="321" t="s">
        <v>118</v>
      </c>
      <c r="C806" s="318" t="s">
        <v>84</v>
      </c>
      <c r="D806">
        <v>20715</v>
      </c>
      <c r="E806" s="143">
        <v>57273</v>
      </c>
      <c r="F806" s="117">
        <v>1403</v>
      </c>
      <c r="G806" s="321" t="s">
        <v>297</v>
      </c>
      <c r="H806" s="144">
        <f>bargiri[[#This Row],[میزان بارگیری شده]]*bargiri[[#This Row],[فی]]</f>
        <v>1186410195</v>
      </c>
      <c r="I806" s="321">
        <f>IF(year=bargiri[[#This Row],[سال]],1,0)</f>
        <v>0</v>
      </c>
      <c r="X806" s="1"/>
      <c r="Y806" s="1"/>
      <c r="Z806" s="1"/>
    </row>
    <row r="807" spans="1:26" ht="18.600000000000001" hidden="1" x14ac:dyDescent="0.25">
      <c r="A807" s="321" t="s">
        <v>369</v>
      </c>
      <c r="B807" s="321" t="s">
        <v>103</v>
      </c>
      <c r="C807" s="318" t="s">
        <v>30</v>
      </c>
      <c r="D807">
        <v>7550</v>
      </c>
      <c r="E807" s="143">
        <v>70000</v>
      </c>
      <c r="F807" s="117">
        <v>1403</v>
      </c>
      <c r="G807" s="321" t="s">
        <v>297</v>
      </c>
      <c r="H807" s="144">
        <f>bargiri[[#This Row],[میزان بارگیری شده]]*bargiri[[#This Row],[فی]]</f>
        <v>528500000</v>
      </c>
      <c r="I807" s="321">
        <f>IF(year=bargiri[[#This Row],[سال]],1,0)</f>
        <v>0</v>
      </c>
      <c r="X807" s="1"/>
      <c r="Y807" s="1"/>
      <c r="Z807" s="1"/>
    </row>
    <row r="808" spans="1:26" ht="18.600000000000001" hidden="1" x14ac:dyDescent="0.25">
      <c r="A808" s="321" t="s">
        <v>157</v>
      </c>
      <c r="B808" s="321" t="s">
        <v>108</v>
      </c>
      <c r="C808" s="318" t="s">
        <v>53</v>
      </c>
      <c r="D808">
        <v>20140</v>
      </c>
      <c r="E808" s="143">
        <v>70000</v>
      </c>
      <c r="F808" s="117">
        <v>1403</v>
      </c>
      <c r="G808" s="321" t="s">
        <v>297</v>
      </c>
      <c r="H808" s="144">
        <f>bargiri[[#This Row],[میزان بارگیری شده]]*bargiri[[#This Row],[فی]]</f>
        <v>1409800000</v>
      </c>
      <c r="I808" s="321">
        <f>IF(year=bargiri[[#This Row],[سال]],1,0)</f>
        <v>0</v>
      </c>
      <c r="X808" s="1"/>
      <c r="Y808" s="1"/>
      <c r="Z808" s="1"/>
    </row>
    <row r="809" spans="1:26" ht="18.600000000000001" hidden="1" x14ac:dyDescent="0.25">
      <c r="A809" s="321" t="s">
        <v>157</v>
      </c>
      <c r="B809" s="321" t="s">
        <v>107</v>
      </c>
      <c r="C809" s="318" t="s">
        <v>50</v>
      </c>
      <c r="D809">
        <v>19010</v>
      </c>
      <c r="E809" s="143">
        <v>70000</v>
      </c>
      <c r="F809" s="117">
        <v>1403</v>
      </c>
      <c r="G809" s="321" t="s">
        <v>297</v>
      </c>
      <c r="H809" s="144">
        <f>bargiri[[#This Row],[میزان بارگیری شده]]*bargiri[[#This Row],[فی]]</f>
        <v>1330700000</v>
      </c>
      <c r="I809" s="321">
        <f>IF(year=bargiri[[#This Row],[سال]],1,0)</f>
        <v>0</v>
      </c>
      <c r="X809" s="1"/>
      <c r="Y809" s="1"/>
      <c r="Z809" s="1"/>
    </row>
    <row r="810" spans="1:26" ht="18.600000000000001" hidden="1" x14ac:dyDescent="0.25">
      <c r="A810" s="321" t="s">
        <v>173</v>
      </c>
      <c r="B810" s="321" t="s">
        <v>116</v>
      </c>
      <c r="C810" s="318" t="s">
        <v>74</v>
      </c>
      <c r="D810">
        <v>16555</v>
      </c>
      <c r="E810" s="143">
        <v>75000</v>
      </c>
      <c r="F810" s="117">
        <v>1403</v>
      </c>
      <c r="G810" s="321" t="s">
        <v>297</v>
      </c>
      <c r="H810" s="144">
        <f>bargiri[[#This Row],[میزان بارگیری شده]]*bargiri[[#This Row],[فی]]</f>
        <v>1241625000</v>
      </c>
      <c r="I810" s="321">
        <f>IF(year=bargiri[[#This Row],[سال]],1,0)</f>
        <v>0</v>
      </c>
      <c r="X810" s="1"/>
      <c r="Y810" s="1"/>
      <c r="Z810" s="1"/>
    </row>
    <row r="811" spans="1:26" ht="18.600000000000001" hidden="1" x14ac:dyDescent="0.25">
      <c r="A811" s="321" t="s">
        <v>173</v>
      </c>
      <c r="B811" s="321" t="s">
        <v>116</v>
      </c>
      <c r="C811" s="318" t="s">
        <v>77</v>
      </c>
      <c r="D811">
        <v>3480</v>
      </c>
      <c r="E811" s="143">
        <v>68500</v>
      </c>
      <c r="F811" s="117">
        <v>1403</v>
      </c>
      <c r="G811" s="321" t="s">
        <v>297</v>
      </c>
      <c r="H811" s="144">
        <f>bargiri[[#This Row],[میزان بارگیری شده]]*bargiri[[#This Row],[فی]]</f>
        <v>238380000</v>
      </c>
      <c r="I811" s="321">
        <f>IF(year=bargiri[[#This Row],[سال]],1,0)</f>
        <v>0</v>
      </c>
      <c r="X811" s="1"/>
      <c r="Y811" s="1"/>
      <c r="Z811" s="1"/>
    </row>
    <row r="812" spans="1:26" ht="18.600000000000001" hidden="1" x14ac:dyDescent="0.25">
      <c r="A812" s="321" t="s">
        <v>173</v>
      </c>
      <c r="B812" s="321" t="s">
        <v>122</v>
      </c>
      <c r="C812" s="318" t="s">
        <v>91</v>
      </c>
      <c r="D812">
        <v>10055</v>
      </c>
      <c r="E812" s="143">
        <v>75000</v>
      </c>
      <c r="F812" s="117">
        <v>1403</v>
      </c>
      <c r="G812" s="321" t="s">
        <v>297</v>
      </c>
      <c r="H812" s="144">
        <f>bargiri[[#This Row],[میزان بارگیری شده]]*bargiri[[#This Row],[فی]]</f>
        <v>754125000</v>
      </c>
      <c r="I812" s="321">
        <f>IF(year=bargiri[[#This Row],[سال]],1,0)</f>
        <v>0</v>
      </c>
      <c r="X812" s="1"/>
      <c r="Y812" s="1"/>
      <c r="Z812" s="1"/>
    </row>
    <row r="813" spans="1:26" ht="18.600000000000001" hidden="1" x14ac:dyDescent="0.25">
      <c r="A813" s="321" t="s">
        <v>173</v>
      </c>
      <c r="B813" s="321" t="s">
        <v>113</v>
      </c>
      <c r="C813" s="318" t="s">
        <v>61</v>
      </c>
      <c r="D813">
        <v>18710</v>
      </c>
      <c r="E813" s="143">
        <v>75000</v>
      </c>
      <c r="F813" s="117">
        <v>1403</v>
      </c>
      <c r="G813" s="321" t="s">
        <v>297</v>
      </c>
      <c r="H813" s="144">
        <f>bargiri[[#This Row],[میزان بارگیری شده]]*bargiri[[#This Row],[فی]]</f>
        <v>1403250000</v>
      </c>
      <c r="I813" s="321">
        <f>IF(year=bargiri[[#This Row],[سال]],1,0)</f>
        <v>0</v>
      </c>
      <c r="X813" s="1"/>
      <c r="Y813" s="1"/>
      <c r="Z813" s="1"/>
    </row>
    <row r="814" spans="1:26" ht="18.600000000000001" hidden="1" x14ac:dyDescent="0.25">
      <c r="A814" s="321" t="s">
        <v>173</v>
      </c>
      <c r="B814" s="321" t="s">
        <v>101</v>
      </c>
      <c r="C814" s="318" t="s">
        <v>19</v>
      </c>
      <c r="D814">
        <v>20220</v>
      </c>
      <c r="E814" s="143">
        <v>75000</v>
      </c>
      <c r="F814" s="117">
        <v>1403</v>
      </c>
      <c r="G814" s="321" t="s">
        <v>297</v>
      </c>
      <c r="H814" s="144">
        <f>bargiri[[#This Row],[میزان بارگیری شده]]*bargiri[[#This Row],[فی]]</f>
        <v>1516500000</v>
      </c>
      <c r="I814" s="321">
        <f>IF(year=bargiri[[#This Row],[سال]],1,0)</f>
        <v>0</v>
      </c>
      <c r="X814" s="1"/>
      <c r="Y814" s="1"/>
      <c r="Z814" s="1"/>
    </row>
    <row r="815" spans="1:26" ht="18.600000000000001" x14ac:dyDescent="0.25">
      <c r="A815" s="321" t="s">
        <v>173</v>
      </c>
      <c r="B815" s="321" t="s">
        <v>118</v>
      </c>
      <c r="C815" s="318" t="s">
        <v>84</v>
      </c>
      <c r="D815">
        <v>20475</v>
      </c>
      <c r="E815" s="143">
        <v>57273</v>
      </c>
      <c r="F815" s="117">
        <v>1403</v>
      </c>
      <c r="G815" s="321" t="s">
        <v>297</v>
      </c>
      <c r="H815" s="144">
        <f>bargiri[[#This Row],[میزان بارگیری شده]]*bargiri[[#This Row],[فی]]</f>
        <v>1172664675</v>
      </c>
      <c r="I815" s="321">
        <f>IF(year=bargiri[[#This Row],[سال]],1,0)</f>
        <v>0</v>
      </c>
      <c r="X815" s="1"/>
      <c r="Y815" s="1"/>
      <c r="Z815" s="1"/>
    </row>
    <row r="816" spans="1:26" ht="18.600000000000001" x14ac:dyDescent="0.25">
      <c r="A816" s="321" t="s">
        <v>173</v>
      </c>
      <c r="B816" s="321" t="s">
        <v>118</v>
      </c>
      <c r="C816" s="318" t="s">
        <v>84</v>
      </c>
      <c r="D816">
        <v>20485</v>
      </c>
      <c r="E816" s="143">
        <v>57273</v>
      </c>
      <c r="F816" s="117">
        <v>1403</v>
      </c>
      <c r="G816" s="321" t="s">
        <v>297</v>
      </c>
      <c r="H816" s="144">
        <f>bargiri[[#This Row],[میزان بارگیری شده]]*bargiri[[#This Row],[فی]]</f>
        <v>1173237405</v>
      </c>
      <c r="I816" s="321">
        <f>IF(year=bargiri[[#This Row],[سال]],1,0)</f>
        <v>0</v>
      </c>
      <c r="X816" s="1"/>
      <c r="Y816" s="1"/>
      <c r="Z816" s="1"/>
    </row>
    <row r="817" spans="1:26" ht="18.600000000000001" hidden="1" x14ac:dyDescent="0.25">
      <c r="A817" s="321" t="s">
        <v>173</v>
      </c>
      <c r="B817" s="321" t="s">
        <v>103</v>
      </c>
      <c r="C817" s="318" t="s">
        <v>30</v>
      </c>
      <c r="D817">
        <v>7500</v>
      </c>
      <c r="E817" s="143">
        <v>70000</v>
      </c>
      <c r="F817" s="117">
        <v>1403</v>
      </c>
      <c r="G817" s="321" t="s">
        <v>297</v>
      </c>
      <c r="H817" s="144">
        <f>bargiri[[#This Row],[میزان بارگیری شده]]*bargiri[[#This Row],[فی]]</f>
        <v>525000000</v>
      </c>
      <c r="I817" s="321">
        <f>IF(year=bargiri[[#This Row],[سال]],1,0)</f>
        <v>0</v>
      </c>
      <c r="X817" s="1"/>
      <c r="Y817" s="1"/>
      <c r="Z817" s="1"/>
    </row>
    <row r="818" spans="1:26" ht="18.600000000000001" hidden="1" x14ac:dyDescent="0.25">
      <c r="A818" s="321" t="s">
        <v>173</v>
      </c>
      <c r="B818" s="321" t="s">
        <v>122</v>
      </c>
      <c r="C818" s="318" t="s">
        <v>91</v>
      </c>
      <c r="D818">
        <v>10240</v>
      </c>
      <c r="E818" s="143">
        <v>75000</v>
      </c>
      <c r="F818" s="117">
        <v>1403</v>
      </c>
      <c r="G818" s="321" t="s">
        <v>297</v>
      </c>
      <c r="H818" s="144">
        <f>bargiri[[#This Row],[میزان بارگیری شده]]*bargiri[[#This Row],[فی]]</f>
        <v>768000000</v>
      </c>
      <c r="I818" s="321">
        <f>IF(year=bargiri[[#This Row],[سال]],1,0)</f>
        <v>0</v>
      </c>
      <c r="X818" s="1"/>
      <c r="Y818" s="1"/>
      <c r="Z818" s="1"/>
    </row>
    <row r="819" spans="1:26" ht="18.600000000000001" hidden="1" x14ac:dyDescent="0.25">
      <c r="A819" s="321" t="s">
        <v>370</v>
      </c>
      <c r="B819" s="321" t="s">
        <v>116</v>
      </c>
      <c r="C819" s="318" t="s">
        <v>77</v>
      </c>
      <c r="D819">
        <v>20045</v>
      </c>
      <c r="E819" s="143">
        <v>68500</v>
      </c>
      <c r="F819" s="117">
        <v>1403</v>
      </c>
      <c r="G819" s="321" t="s">
        <v>297</v>
      </c>
      <c r="H819" s="144">
        <f>bargiri[[#This Row],[میزان بارگیری شده]]*bargiri[[#This Row],[فی]]</f>
        <v>1373082500</v>
      </c>
      <c r="I819" s="321">
        <f>IF(year=bargiri[[#This Row],[سال]],1,0)</f>
        <v>0</v>
      </c>
      <c r="X819" s="1"/>
      <c r="Y819" s="1"/>
      <c r="Z819" s="1"/>
    </row>
    <row r="820" spans="1:26" ht="18.600000000000001" hidden="1" x14ac:dyDescent="0.25">
      <c r="A820" s="321" t="s">
        <v>370</v>
      </c>
      <c r="B820" s="321" t="s">
        <v>107</v>
      </c>
      <c r="C820" s="318" t="s">
        <v>50</v>
      </c>
      <c r="D820">
        <v>18560</v>
      </c>
      <c r="E820" s="143">
        <v>70000</v>
      </c>
      <c r="F820" s="117">
        <v>1403</v>
      </c>
      <c r="G820" s="321" t="s">
        <v>297</v>
      </c>
      <c r="H820" s="144">
        <f>bargiri[[#This Row],[میزان بارگیری شده]]*bargiri[[#This Row],[فی]]</f>
        <v>1299200000</v>
      </c>
      <c r="I820" s="321">
        <f>IF(year=bargiri[[#This Row],[سال]],1,0)</f>
        <v>0</v>
      </c>
      <c r="X820" s="1"/>
      <c r="Y820" s="1"/>
      <c r="Z820" s="1"/>
    </row>
    <row r="821" spans="1:26" ht="18.600000000000001" x14ac:dyDescent="0.25">
      <c r="A821" s="321" t="s">
        <v>370</v>
      </c>
      <c r="B821" s="321" t="s">
        <v>118</v>
      </c>
      <c r="C821" s="318" t="s">
        <v>84</v>
      </c>
      <c r="D821">
        <v>20980</v>
      </c>
      <c r="E821" s="143">
        <v>57273</v>
      </c>
      <c r="F821" s="117">
        <v>1403</v>
      </c>
      <c r="G821" s="321" t="s">
        <v>297</v>
      </c>
      <c r="H821" s="144">
        <f>bargiri[[#This Row],[میزان بارگیری شده]]*bargiri[[#This Row],[فی]]</f>
        <v>1201587540</v>
      </c>
      <c r="I821" s="321">
        <f>IF(year=bargiri[[#This Row],[سال]],1,0)</f>
        <v>0</v>
      </c>
      <c r="X821" s="1"/>
      <c r="Y821" s="1"/>
      <c r="Z821" s="1"/>
    </row>
    <row r="822" spans="1:26" ht="18.600000000000001" x14ac:dyDescent="0.25">
      <c r="A822" s="321" t="s">
        <v>370</v>
      </c>
      <c r="B822" s="321" t="s">
        <v>118</v>
      </c>
      <c r="C822" s="318" t="s">
        <v>84</v>
      </c>
      <c r="D822">
        <v>20760</v>
      </c>
      <c r="E822" s="143">
        <v>57273</v>
      </c>
      <c r="F822" s="117">
        <v>1403</v>
      </c>
      <c r="G822" s="321" t="s">
        <v>297</v>
      </c>
      <c r="H822" s="144">
        <f>bargiri[[#This Row],[میزان بارگیری شده]]*bargiri[[#This Row],[فی]]</f>
        <v>1188987480</v>
      </c>
      <c r="I822" s="321">
        <f>IF(year=bargiri[[#This Row],[سال]],1,0)</f>
        <v>0</v>
      </c>
      <c r="X822" s="1"/>
      <c r="Y822" s="1"/>
      <c r="Z822" s="1"/>
    </row>
    <row r="823" spans="1:26" ht="18.600000000000001" hidden="1" x14ac:dyDescent="0.25">
      <c r="A823" s="321" t="s">
        <v>223</v>
      </c>
      <c r="B823" s="321" t="s">
        <v>117</v>
      </c>
      <c r="C823" s="318" t="s">
        <v>81</v>
      </c>
      <c r="D823">
        <v>8335</v>
      </c>
      <c r="E823" s="143">
        <v>70000</v>
      </c>
      <c r="F823" s="117">
        <v>1403</v>
      </c>
      <c r="G823" s="321" t="s">
        <v>298</v>
      </c>
      <c r="H823" s="144">
        <f>bargiri[[#This Row],[میزان بارگیری شده]]*bargiri[[#This Row],[فی]]</f>
        <v>583450000</v>
      </c>
      <c r="I823" s="321">
        <f>IF(year=bargiri[[#This Row],[سال]],1,0)</f>
        <v>0</v>
      </c>
      <c r="X823" s="1"/>
      <c r="Y823" s="1"/>
      <c r="Z823" s="1"/>
    </row>
    <row r="824" spans="1:26" ht="18.600000000000001" hidden="1" x14ac:dyDescent="0.25">
      <c r="A824" s="321" t="s">
        <v>223</v>
      </c>
      <c r="B824" s="321" t="s">
        <v>117</v>
      </c>
      <c r="C824" s="318" t="s">
        <v>82</v>
      </c>
      <c r="D824">
        <v>8320</v>
      </c>
      <c r="E824" s="143">
        <v>70000</v>
      </c>
      <c r="F824" s="117">
        <v>1403</v>
      </c>
      <c r="G824" s="321" t="s">
        <v>298</v>
      </c>
      <c r="H824" s="144">
        <f>bargiri[[#This Row],[میزان بارگیری شده]]*bargiri[[#This Row],[فی]]</f>
        <v>582400000</v>
      </c>
      <c r="I824" s="321">
        <f>IF(year=bargiri[[#This Row],[سال]],1,0)</f>
        <v>0</v>
      </c>
      <c r="X824" s="1"/>
      <c r="Y824" s="1"/>
      <c r="Z824" s="1"/>
    </row>
    <row r="825" spans="1:26" ht="18.600000000000001" hidden="1" x14ac:dyDescent="0.25">
      <c r="A825" s="321" t="s">
        <v>223</v>
      </c>
      <c r="B825" s="321" t="s">
        <v>117</v>
      </c>
      <c r="C825" s="318" t="s">
        <v>79</v>
      </c>
      <c r="D825">
        <v>3250</v>
      </c>
      <c r="E825" s="143">
        <v>75000</v>
      </c>
      <c r="F825" s="117">
        <v>1403</v>
      </c>
      <c r="G825" s="321" t="s">
        <v>298</v>
      </c>
      <c r="H825" s="144">
        <f>bargiri[[#This Row],[میزان بارگیری شده]]*bargiri[[#This Row],[فی]]</f>
        <v>243750000</v>
      </c>
      <c r="I825" s="321">
        <f>IF(year=bargiri[[#This Row],[سال]],1,0)</f>
        <v>0</v>
      </c>
      <c r="X825" s="1"/>
      <c r="Y825" s="1"/>
      <c r="Z825" s="1"/>
    </row>
    <row r="826" spans="1:26" ht="18.600000000000001" hidden="1" x14ac:dyDescent="0.25">
      <c r="A826" s="321" t="s">
        <v>371</v>
      </c>
      <c r="B826" s="321" t="s">
        <v>117</v>
      </c>
      <c r="C826" s="318" t="s">
        <v>81</v>
      </c>
      <c r="D826">
        <v>20175</v>
      </c>
      <c r="E826" s="143">
        <v>70000</v>
      </c>
      <c r="F826" s="117">
        <v>1403</v>
      </c>
      <c r="G826" s="321" t="s">
        <v>298</v>
      </c>
      <c r="H826" s="144">
        <f>bargiri[[#This Row],[میزان بارگیری شده]]*bargiri[[#This Row],[فی]]</f>
        <v>1412250000</v>
      </c>
      <c r="I826" s="321">
        <f>IF(year=bargiri[[#This Row],[سال]],1,0)</f>
        <v>0</v>
      </c>
      <c r="X826" s="1"/>
      <c r="Y826" s="1"/>
      <c r="Z826" s="1"/>
    </row>
    <row r="827" spans="1:26" ht="18.600000000000001" hidden="1" x14ac:dyDescent="0.25">
      <c r="A827" s="321" t="s">
        <v>372</v>
      </c>
      <c r="B827" s="321" t="s">
        <v>117</v>
      </c>
      <c r="C827" s="318" t="s">
        <v>81</v>
      </c>
      <c r="D827">
        <v>20060</v>
      </c>
      <c r="E827" s="143">
        <v>70000</v>
      </c>
      <c r="F827" s="117">
        <v>1403</v>
      </c>
      <c r="G827" s="321" t="s">
        <v>298</v>
      </c>
      <c r="H827" s="144">
        <f>bargiri[[#This Row],[میزان بارگیری شده]]*bargiri[[#This Row],[فی]]</f>
        <v>1404200000</v>
      </c>
      <c r="I827" s="321">
        <f>IF(year=bargiri[[#This Row],[سال]],1,0)</f>
        <v>0</v>
      </c>
      <c r="X827" s="1"/>
      <c r="Y827" s="1"/>
      <c r="Z827" s="1"/>
    </row>
    <row r="828" spans="1:26" ht="18.600000000000001" hidden="1" x14ac:dyDescent="0.25">
      <c r="A828" s="321" t="s">
        <v>223</v>
      </c>
      <c r="B828" s="321" t="s">
        <v>102</v>
      </c>
      <c r="C828" s="318" t="s">
        <v>25</v>
      </c>
      <c r="D828">
        <v>11920</v>
      </c>
      <c r="E828" s="143">
        <v>65000</v>
      </c>
      <c r="F828" s="117">
        <v>1403</v>
      </c>
      <c r="G828" s="321" t="s">
        <v>298</v>
      </c>
      <c r="H828" s="144">
        <f>bargiri[[#This Row],[میزان بارگیری شده]]*bargiri[[#This Row],[فی]]</f>
        <v>774800000</v>
      </c>
      <c r="I828" s="321">
        <f>IF(year=bargiri[[#This Row],[سال]],1,0)</f>
        <v>0</v>
      </c>
      <c r="X828" s="1"/>
      <c r="Y828" s="1"/>
      <c r="Z828" s="1"/>
    </row>
    <row r="829" spans="1:26" ht="18.600000000000001" hidden="1" x14ac:dyDescent="0.25">
      <c r="A829" s="321" t="s">
        <v>223</v>
      </c>
      <c r="B829" s="321" t="s">
        <v>106</v>
      </c>
      <c r="C829" s="318" t="s">
        <v>46</v>
      </c>
      <c r="D829">
        <v>20070</v>
      </c>
      <c r="E829" s="143">
        <v>70000</v>
      </c>
      <c r="F829" s="117">
        <v>1403</v>
      </c>
      <c r="G829" s="321" t="s">
        <v>298</v>
      </c>
      <c r="H829" s="144">
        <f>bargiri[[#This Row],[میزان بارگیری شده]]*bargiri[[#This Row],[فی]]</f>
        <v>1404900000</v>
      </c>
      <c r="I829" s="321">
        <f>IF(year=bargiri[[#This Row],[سال]],1,0)</f>
        <v>0</v>
      </c>
      <c r="X829" s="1"/>
      <c r="Y829" s="1"/>
      <c r="Z829" s="1"/>
    </row>
    <row r="830" spans="1:26" ht="18.600000000000001" hidden="1" x14ac:dyDescent="0.25">
      <c r="A830" s="321" t="s">
        <v>223</v>
      </c>
      <c r="B830" s="321" t="s">
        <v>122</v>
      </c>
      <c r="C830" s="318" t="s">
        <v>91</v>
      </c>
      <c r="D830">
        <v>10070</v>
      </c>
      <c r="E830" s="143">
        <v>75000</v>
      </c>
      <c r="F830" s="117">
        <v>1403</v>
      </c>
      <c r="G830" s="321" t="s">
        <v>298</v>
      </c>
      <c r="H830" s="144">
        <f>bargiri[[#This Row],[میزان بارگیری شده]]*bargiri[[#This Row],[فی]]</f>
        <v>755250000</v>
      </c>
      <c r="I830" s="321">
        <f>IF(year=bargiri[[#This Row],[سال]],1,0)</f>
        <v>0</v>
      </c>
      <c r="X830" s="1"/>
      <c r="Y830" s="1"/>
      <c r="Z830" s="1"/>
    </row>
    <row r="831" spans="1:26" ht="18.600000000000001" hidden="1" x14ac:dyDescent="0.25">
      <c r="A831" s="321" t="s">
        <v>223</v>
      </c>
      <c r="B831" s="321" t="s">
        <v>116</v>
      </c>
      <c r="C831" s="318" t="s">
        <v>77</v>
      </c>
      <c r="D831">
        <v>19950</v>
      </c>
      <c r="E831" s="143">
        <v>68500</v>
      </c>
      <c r="F831" s="117">
        <v>1403</v>
      </c>
      <c r="G831" s="321" t="s">
        <v>298</v>
      </c>
      <c r="H831" s="144">
        <f>bargiri[[#This Row],[میزان بارگیری شده]]*bargiri[[#This Row],[فی]]</f>
        <v>1366575000</v>
      </c>
      <c r="I831" s="321">
        <f>IF(year=bargiri[[#This Row],[سال]],1,0)</f>
        <v>0</v>
      </c>
      <c r="X831" s="1"/>
      <c r="Y831" s="1"/>
      <c r="Z831" s="1"/>
    </row>
    <row r="832" spans="1:26" ht="18.600000000000001" hidden="1" x14ac:dyDescent="0.25">
      <c r="A832" s="321" t="s">
        <v>223</v>
      </c>
      <c r="B832" s="321" t="s">
        <v>106</v>
      </c>
      <c r="C832" s="318" t="s">
        <v>46</v>
      </c>
      <c r="D832">
        <v>18065</v>
      </c>
      <c r="E832" s="143">
        <v>70000</v>
      </c>
      <c r="F832" s="117">
        <v>1403</v>
      </c>
      <c r="G832" s="321" t="s">
        <v>298</v>
      </c>
      <c r="H832" s="144">
        <f>bargiri[[#This Row],[میزان بارگیری شده]]*bargiri[[#This Row],[فی]]</f>
        <v>1264550000</v>
      </c>
      <c r="I832" s="321">
        <f>IF(year=bargiri[[#This Row],[سال]],1,0)</f>
        <v>0</v>
      </c>
      <c r="X832" s="1"/>
      <c r="Y832" s="1"/>
      <c r="Z832" s="1"/>
    </row>
    <row r="833" spans="1:26" ht="18.600000000000001" hidden="1" x14ac:dyDescent="0.25">
      <c r="A833" s="321" t="s">
        <v>223</v>
      </c>
      <c r="B833" s="321" t="s">
        <v>116</v>
      </c>
      <c r="C833" s="318" t="s">
        <v>77</v>
      </c>
      <c r="D833">
        <v>20120</v>
      </c>
      <c r="E833" s="143">
        <v>68500</v>
      </c>
      <c r="F833" s="117">
        <v>1403</v>
      </c>
      <c r="G833" s="321" t="s">
        <v>298</v>
      </c>
      <c r="H833" s="144">
        <f>bargiri[[#This Row],[میزان بارگیری شده]]*bargiri[[#This Row],[فی]]</f>
        <v>1378220000</v>
      </c>
      <c r="I833" s="321">
        <f>IF(year=bargiri[[#This Row],[سال]],1,0)</f>
        <v>0</v>
      </c>
      <c r="X833" s="1"/>
      <c r="Y833" s="1"/>
      <c r="Z833" s="1"/>
    </row>
    <row r="834" spans="1:26" ht="18.600000000000001" hidden="1" x14ac:dyDescent="0.25">
      <c r="A834" s="321" t="s">
        <v>154</v>
      </c>
      <c r="B834" s="321" t="s">
        <v>116</v>
      </c>
      <c r="C834" s="318" t="s">
        <v>77</v>
      </c>
      <c r="D834">
        <v>19980</v>
      </c>
      <c r="E834" s="143">
        <v>68500</v>
      </c>
      <c r="F834" s="117">
        <v>1403</v>
      </c>
      <c r="G834" s="321" t="s">
        <v>298</v>
      </c>
      <c r="H834" s="144">
        <f>bargiri[[#This Row],[میزان بارگیری شده]]*bargiri[[#This Row],[فی]]</f>
        <v>1368630000</v>
      </c>
      <c r="I834" s="321">
        <f>IF(year=bargiri[[#This Row],[سال]],1,0)</f>
        <v>0</v>
      </c>
      <c r="X834" s="1"/>
      <c r="Y834" s="1"/>
      <c r="Z834" s="1"/>
    </row>
    <row r="835" spans="1:26" ht="18.600000000000001" hidden="1" x14ac:dyDescent="0.25">
      <c r="A835" s="321" t="s">
        <v>154</v>
      </c>
      <c r="B835" s="321" t="s">
        <v>116</v>
      </c>
      <c r="C835" s="318" t="s">
        <v>77</v>
      </c>
      <c r="D835">
        <v>20060</v>
      </c>
      <c r="E835" s="143">
        <v>68500</v>
      </c>
      <c r="F835" s="117">
        <v>1403</v>
      </c>
      <c r="G835" s="321" t="s">
        <v>298</v>
      </c>
      <c r="H835" s="144">
        <f>bargiri[[#This Row],[میزان بارگیری شده]]*bargiri[[#This Row],[فی]]</f>
        <v>1374110000</v>
      </c>
      <c r="I835" s="321">
        <f>IF(year=bargiri[[#This Row],[سال]],1,0)</f>
        <v>0</v>
      </c>
      <c r="X835" s="1"/>
      <c r="Y835" s="1"/>
      <c r="Z835" s="1"/>
    </row>
    <row r="836" spans="1:26" ht="18.600000000000001" hidden="1" x14ac:dyDescent="0.25">
      <c r="A836" s="321" t="s">
        <v>167</v>
      </c>
      <c r="B836" s="321" t="s">
        <v>115</v>
      </c>
      <c r="C836" s="318" t="s">
        <v>64</v>
      </c>
      <c r="D836">
        <v>18725</v>
      </c>
      <c r="E836" s="143">
        <v>75000</v>
      </c>
      <c r="F836" s="117">
        <v>1403</v>
      </c>
      <c r="G836" s="321" t="s">
        <v>298</v>
      </c>
      <c r="H836" s="144">
        <f>bargiri[[#This Row],[میزان بارگیری شده]]*bargiri[[#This Row],[فی]]</f>
        <v>1404375000</v>
      </c>
      <c r="I836" s="321">
        <f>IF(year=bargiri[[#This Row],[سال]],1,0)</f>
        <v>0</v>
      </c>
      <c r="X836" s="1"/>
      <c r="Y836" s="1"/>
      <c r="Z836" s="1"/>
    </row>
    <row r="837" spans="1:26" ht="18.600000000000001" hidden="1" x14ac:dyDescent="0.25">
      <c r="A837" s="321" t="s">
        <v>167</v>
      </c>
      <c r="B837" s="321" t="s">
        <v>115</v>
      </c>
      <c r="C837" s="318" t="s">
        <v>65</v>
      </c>
      <c r="D837">
        <v>4585</v>
      </c>
      <c r="E837" s="143">
        <v>75000</v>
      </c>
      <c r="F837" s="117">
        <v>1403</v>
      </c>
      <c r="G837" s="321" t="s">
        <v>298</v>
      </c>
      <c r="H837" s="144">
        <f>bargiri[[#This Row],[میزان بارگیری شده]]*bargiri[[#This Row],[فی]]</f>
        <v>343875000</v>
      </c>
      <c r="I837" s="321">
        <f>IF(year=bargiri[[#This Row],[سال]],1,0)</f>
        <v>0</v>
      </c>
      <c r="X837" s="1"/>
      <c r="Y837" s="1"/>
      <c r="Z837" s="1"/>
    </row>
    <row r="838" spans="1:26" ht="18.600000000000001" hidden="1" x14ac:dyDescent="0.25">
      <c r="A838" s="321" t="s">
        <v>154</v>
      </c>
      <c r="B838" s="321" t="s">
        <v>120</v>
      </c>
      <c r="C838" s="318" t="s">
        <v>88</v>
      </c>
      <c r="D838">
        <v>9020</v>
      </c>
      <c r="E838" s="143">
        <v>80000</v>
      </c>
      <c r="F838" s="117">
        <v>1403</v>
      </c>
      <c r="G838" s="321" t="s">
        <v>298</v>
      </c>
      <c r="H838" s="144">
        <f>bargiri[[#This Row],[میزان بارگیری شده]]*bargiri[[#This Row],[فی]]</f>
        <v>721600000</v>
      </c>
      <c r="I838" s="321">
        <f>IF(year=bargiri[[#This Row],[سال]],1,0)</f>
        <v>0</v>
      </c>
      <c r="X838" s="1"/>
      <c r="Y838" s="1"/>
      <c r="Z838" s="1"/>
    </row>
    <row r="839" spans="1:26" ht="18.600000000000001" hidden="1" x14ac:dyDescent="0.25">
      <c r="A839" s="321" t="s">
        <v>154</v>
      </c>
      <c r="B839" s="321" t="s">
        <v>107</v>
      </c>
      <c r="C839" s="318" t="s">
        <v>50</v>
      </c>
      <c r="D839">
        <v>19075</v>
      </c>
      <c r="E839" s="143">
        <v>70000</v>
      </c>
      <c r="F839" s="117">
        <v>1403</v>
      </c>
      <c r="G839" s="321" t="s">
        <v>298</v>
      </c>
      <c r="H839" s="144">
        <f>bargiri[[#This Row],[میزان بارگیری شده]]*bargiri[[#This Row],[فی]]</f>
        <v>1335250000</v>
      </c>
      <c r="I839" s="321">
        <f>IF(year=bargiri[[#This Row],[سال]],1,0)</f>
        <v>0</v>
      </c>
      <c r="X839" s="1"/>
      <c r="Y839" s="1"/>
      <c r="Z839" s="1"/>
    </row>
    <row r="840" spans="1:26" ht="18.600000000000001" hidden="1" x14ac:dyDescent="0.25">
      <c r="A840" s="321" t="s">
        <v>154</v>
      </c>
      <c r="B840" s="321" t="s">
        <v>120</v>
      </c>
      <c r="C840" s="318" t="s">
        <v>88</v>
      </c>
      <c r="D840">
        <v>9125</v>
      </c>
      <c r="E840" s="143">
        <v>80000</v>
      </c>
      <c r="F840" s="117">
        <v>1403</v>
      </c>
      <c r="G840" s="321" t="s">
        <v>298</v>
      </c>
      <c r="H840" s="144">
        <f>bargiri[[#This Row],[میزان بارگیری شده]]*bargiri[[#This Row],[فی]]</f>
        <v>730000000</v>
      </c>
      <c r="I840" s="321">
        <f>IF(year=bargiri[[#This Row],[سال]],1,0)</f>
        <v>0</v>
      </c>
      <c r="X840" s="1"/>
      <c r="Y840" s="1"/>
      <c r="Z840" s="1"/>
    </row>
    <row r="841" spans="1:26" ht="18.600000000000001" hidden="1" x14ac:dyDescent="0.25">
      <c r="A841" s="321" t="s">
        <v>214</v>
      </c>
      <c r="B841" s="321" t="s">
        <v>114</v>
      </c>
      <c r="C841" s="318" t="s">
        <v>63</v>
      </c>
      <c r="D841">
        <v>23670</v>
      </c>
      <c r="E841" s="143">
        <v>75000</v>
      </c>
      <c r="F841" s="117">
        <v>1403</v>
      </c>
      <c r="G841" s="321" t="s">
        <v>298</v>
      </c>
      <c r="H841" s="144">
        <f>bargiri[[#This Row],[میزان بارگیری شده]]*bargiri[[#This Row],[فی]]</f>
        <v>1775250000</v>
      </c>
      <c r="I841" s="321">
        <f>IF(year=bargiri[[#This Row],[سال]],1,0)</f>
        <v>0</v>
      </c>
      <c r="X841" s="1"/>
      <c r="Y841" s="1"/>
      <c r="Z841" s="1"/>
    </row>
    <row r="842" spans="1:26" ht="18.600000000000001" x14ac:dyDescent="0.25">
      <c r="A842" s="321" t="s">
        <v>371</v>
      </c>
      <c r="B842" s="321" t="s">
        <v>118</v>
      </c>
      <c r="C842" s="318" t="s">
        <v>84</v>
      </c>
      <c r="D842">
        <v>21095</v>
      </c>
      <c r="E842" s="143">
        <v>57273</v>
      </c>
      <c r="F842" s="117">
        <v>1403</v>
      </c>
      <c r="G842" s="321" t="s">
        <v>298</v>
      </c>
      <c r="H842" s="144">
        <f>bargiri[[#This Row],[میزان بارگیری شده]]*bargiri[[#This Row],[فی]]</f>
        <v>1208173935</v>
      </c>
      <c r="I842" s="321">
        <f>IF(year=bargiri[[#This Row],[سال]],1,0)</f>
        <v>0</v>
      </c>
      <c r="X842" s="1"/>
      <c r="Y842" s="1"/>
      <c r="Z842" s="1"/>
    </row>
    <row r="843" spans="1:26" ht="18.600000000000001" hidden="1" x14ac:dyDescent="0.25">
      <c r="A843" s="321" t="s">
        <v>371</v>
      </c>
      <c r="B843" s="321" t="s">
        <v>116</v>
      </c>
      <c r="C843" s="318" t="s">
        <v>77</v>
      </c>
      <c r="D843">
        <v>18090</v>
      </c>
      <c r="E843" s="143">
        <v>68500</v>
      </c>
      <c r="F843" s="117">
        <v>1403</v>
      </c>
      <c r="G843" s="321" t="s">
        <v>298</v>
      </c>
      <c r="H843" s="144">
        <f>bargiri[[#This Row],[میزان بارگیری شده]]*bargiri[[#This Row],[فی]]</f>
        <v>1239165000</v>
      </c>
      <c r="I843" s="321">
        <f>IF(year=bargiri[[#This Row],[سال]],1,0)</f>
        <v>0</v>
      </c>
      <c r="X843" s="1"/>
      <c r="Y843" s="1"/>
      <c r="Z843" s="1"/>
    </row>
    <row r="844" spans="1:26" ht="18.600000000000001" hidden="1" x14ac:dyDescent="0.25">
      <c r="A844" s="321" t="s">
        <v>154</v>
      </c>
      <c r="B844" s="321" t="s">
        <v>110</v>
      </c>
      <c r="C844" s="318" t="s">
        <v>57</v>
      </c>
      <c r="D844">
        <v>20355</v>
      </c>
      <c r="E844" s="143">
        <v>78000</v>
      </c>
      <c r="F844" s="117">
        <v>1403</v>
      </c>
      <c r="G844" s="321" t="s">
        <v>298</v>
      </c>
      <c r="H844" s="144">
        <f>bargiri[[#This Row],[میزان بارگیری شده]]*bargiri[[#This Row],[فی]]</f>
        <v>1587690000</v>
      </c>
      <c r="I844" s="321">
        <f>IF(year=bargiri[[#This Row],[سال]],1,0)</f>
        <v>0</v>
      </c>
      <c r="X844" s="1"/>
      <c r="Y844" s="1"/>
      <c r="Z844" s="1"/>
    </row>
    <row r="845" spans="1:26" ht="18.600000000000001" x14ac:dyDescent="0.25">
      <c r="A845" s="321" t="s">
        <v>371</v>
      </c>
      <c r="B845" s="321" t="s">
        <v>118</v>
      </c>
      <c r="C845" s="318" t="s">
        <v>84</v>
      </c>
      <c r="D845">
        <v>20630</v>
      </c>
      <c r="E845" s="143">
        <v>57273</v>
      </c>
      <c r="F845" s="117">
        <v>1403</v>
      </c>
      <c r="G845" s="321" t="s">
        <v>298</v>
      </c>
      <c r="H845" s="144">
        <f>bargiri[[#This Row],[میزان بارگیری شده]]*bargiri[[#This Row],[فی]]</f>
        <v>1181541990</v>
      </c>
      <c r="I845" s="321">
        <f>IF(year=bargiri[[#This Row],[سال]],1,0)</f>
        <v>0</v>
      </c>
      <c r="X845" s="1"/>
      <c r="Y845" s="1"/>
      <c r="Z845" s="1"/>
    </row>
    <row r="846" spans="1:26" ht="18.600000000000001" x14ac:dyDescent="0.25">
      <c r="A846" s="321" t="s">
        <v>371</v>
      </c>
      <c r="B846" s="321" t="s">
        <v>118</v>
      </c>
      <c r="C846" s="318" t="s">
        <v>84</v>
      </c>
      <c r="D846">
        <v>21255</v>
      </c>
      <c r="E846" s="143">
        <v>57273</v>
      </c>
      <c r="F846" s="117">
        <v>1403</v>
      </c>
      <c r="G846" s="321" t="s">
        <v>298</v>
      </c>
      <c r="H846" s="144">
        <f>bargiri[[#This Row],[میزان بارگیری شده]]*bargiri[[#This Row],[فی]]</f>
        <v>1217337615</v>
      </c>
      <c r="I846" s="321">
        <f>IF(year=bargiri[[#This Row],[سال]],1,0)</f>
        <v>0</v>
      </c>
      <c r="X846" s="1"/>
      <c r="Y846" s="1"/>
      <c r="Z846" s="1"/>
    </row>
    <row r="847" spans="1:26" ht="18.600000000000001" x14ac:dyDescent="0.25">
      <c r="A847" s="321" t="s">
        <v>371</v>
      </c>
      <c r="B847" s="321" t="s">
        <v>118</v>
      </c>
      <c r="C847" s="318" t="s">
        <v>84</v>
      </c>
      <c r="D847">
        <v>20770</v>
      </c>
      <c r="E847" s="143">
        <v>57273</v>
      </c>
      <c r="F847" s="117">
        <v>1403</v>
      </c>
      <c r="G847" s="321" t="s">
        <v>298</v>
      </c>
      <c r="H847" s="144">
        <f>bargiri[[#This Row],[میزان بارگیری شده]]*bargiri[[#This Row],[فی]]</f>
        <v>1189560210</v>
      </c>
      <c r="I847" s="321">
        <f>IF(year=bargiri[[#This Row],[سال]],1,0)</f>
        <v>0</v>
      </c>
      <c r="X847" s="1"/>
      <c r="Y847" s="1"/>
      <c r="Z847" s="1"/>
    </row>
    <row r="848" spans="1:26" ht="18.600000000000001" x14ac:dyDescent="0.25">
      <c r="A848" s="321" t="s">
        <v>371</v>
      </c>
      <c r="B848" s="321" t="s">
        <v>118</v>
      </c>
      <c r="C848" s="318" t="s">
        <v>84</v>
      </c>
      <c r="D848">
        <v>21060</v>
      </c>
      <c r="E848" s="143">
        <v>57273</v>
      </c>
      <c r="F848" s="117">
        <v>1403</v>
      </c>
      <c r="G848" s="321" t="s">
        <v>298</v>
      </c>
      <c r="H848" s="144">
        <f>bargiri[[#This Row],[میزان بارگیری شده]]*bargiri[[#This Row],[فی]]</f>
        <v>1206169380</v>
      </c>
      <c r="I848" s="321">
        <f>IF(year=bargiri[[#This Row],[سال]],1,0)</f>
        <v>0</v>
      </c>
      <c r="X848" s="1"/>
      <c r="Y848" s="1"/>
      <c r="Z848" s="1"/>
    </row>
    <row r="849" spans="1:26" ht="18.600000000000001" hidden="1" x14ac:dyDescent="0.25">
      <c r="A849" s="321" t="s">
        <v>167</v>
      </c>
      <c r="B849" s="321" t="s">
        <v>116</v>
      </c>
      <c r="C849" s="318" t="s">
        <v>77</v>
      </c>
      <c r="D849">
        <v>21205</v>
      </c>
      <c r="E849" s="143">
        <v>68500</v>
      </c>
      <c r="F849" s="117">
        <v>1403</v>
      </c>
      <c r="G849" s="321" t="s">
        <v>298</v>
      </c>
      <c r="H849" s="144">
        <f>bargiri[[#This Row],[میزان بارگیری شده]]*bargiri[[#This Row],[فی]]</f>
        <v>1452542500</v>
      </c>
      <c r="I849" s="321">
        <f>IF(year=bargiri[[#This Row],[سال]],1,0)</f>
        <v>0</v>
      </c>
      <c r="X849" s="1"/>
      <c r="Y849" s="1"/>
      <c r="Z849" s="1"/>
    </row>
    <row r="850" spans="1:26" ht="18.600000000000001" hidden="1" x14ac:dyDescent="0.25">
      <c r="A850" s="321" t="s">
        <v>167</v>
      </c>
      <c r="B850" s="321" t="s">
        <v>106</v>
      </c>
      <c r="C850" s="318" t="s">
        <v>46</v>
      </c>
      <c r="D850">
        <v>12620</v>
      </c>
      <c r="E850" s="143">
        <v>70000</v>
      </c>
      <c r="F850" s="117">
        <v>1403</v>
      </c>
      <c r="G850" s="321" t="s">
        <v>298</v>
      </c>
      <c r="H850" s="144">
        <f>bargiri[[#This Row],[میزان بارگیری شده]]*bargiri[[#This Row],[فی]]</f>
        <v>883400000</v>
      </c>
      <c r="I850" s="321">
        <f>IF(year=bargiri[[#This Row],[سال]],1,0)</f>
        <v>0</v>
      </c>
      <c r="X850" s="1"/>
      <c r="Y850" s="1"/>
      <c r="Z850" s="1"/>
    </row>
    <row r="851" spans="1:26" ht="18.600000000000001" hidden="1" x14ac:dyDescent="0.25">
      <c r="A851" s="321" t="s">
        <v>167</v>
      </c>
      <c r="B851" s="321" t="s">
        <v>106</v>
      </c>
      <c r="C851" s="318" t="s">
        <v>48</v>
      </c>
      <c r="D851">
        <v>6700</v>
      </c>
      <c r="E851" s="143">
        <v>65000</v>
      </c>
      <c r="F851" s="117">
        <v>1403</v>
      </c>
      <c r="G851" s="321" t="s">
        <v>298</v>
      </c>
      <c r="H851" s="144">
        <f>bargiri[[#This Row],[میزان بارگیری شده]]*bargiri[[#This Row],[فی]]</f>
        <v>435500000</v>
      </c>
      <c r="I851" s="321">
        <f>IF(year=bargiri[[#This Row],[سال]],1,0)</f>
        <v>0</v>
      </c>
      <c r="X851" s="1"/>
      <c r="Y851" s="1"/>
      <c r="Z851" s="1"/>
    </row>
    <row r="852" spans="1:26" ht="18.600000000000001" hidden="1" x14ac:dyDescent="0.25">
      <c r="A852" s="321" t="s">
        <v>167</v>
      </c>
      <c r="B852" s="321" t="s">
        <v>106</v>
      </c>
      <c r="C852" s="318" t="s">
        <v>46</v>
      </c>
      <c r="D852">
        <v>15060</v>
      </c>
      <c r="E852" s="143">
        <v>70000</v>
      </c>
      <c r="F852" s="117">
        <v>1403</v>
      </c>
      <c r="G852" s="321" t="s">
        <v>298</v>
      </c>
      <c r="H852" s="144">
        <f>bargiri[[#This Row],[میزان بارگیری شده]]*bargiri[[#This Row],[فی]]</f>
        <v>1054200000</v>
      </c>
      <c r="I852" s="321">
        <f>IF(year=bargiri[[#This Row],[سال]],1,0)</f>
        <v>0</v>
      </c>
      <c r="X852" s="1"/>
      <c r="Y852" s="1"/>
      <c r="Z852" s="1"/>
    </row>
    <row r="853" spans="1:26" ht="18.600000000000001" hidden="1" x14ac:dyDescent="0.25">
      <c r="A853" s="321" t="s">
        <v>167</v>
      </c>
      <c r="B853" s="321" t="s">
        <v>120</v>
      </c>
      <c r="C853" s="318" t="s">
        <v>88</v>
      </c>
      <c r="D853">
        <v>9100</v>
      </c>
      <c r="E853" s="143">
        <v>80000</v>
      </c>
      <c r="F853" s="117">
        <v>1403</v>
      </c>
      <c r="G853" s="321" t="s">
        <v>298</v>
      </c>
      <c r="H853" s="144">
        <f>bargiri[[#This Row],[میزان بارگیری شده]]*bargiri[[#This Row],[فی]]</f>
        <v>728000000</v>
      </c>
      <c r="I853" s="321">
        <f>IF(year=bargiri[[#This Row],[سال]],1,0)</f>
        <v>0</v>
      </c>
      <c r="X853" s="1"/>
      <c r="Y853" s="1"/>
      <c r="Z853" s="1"/>
    </row>
    <row r="854" spans="1:26" ht="18.600000000000001" hidden="1" x14ac:dyDescent="0.25">
      <c r="A854" s="321" t="s">
        <v>167</v>
      </c>
      <c r="B854" s="321" t="s">
        <v>107</v>
      </c>
      <c r="C854" s="318" t="s">
        <v>50</v>
      </c>
      <c r="D854">
        <v>19030</v>
      </c>
      <c r="E854" s="143">
        <v>70000</v>
      </c>
      <c r="F854" s="117">
        <v>1403</v>
      </c>
      <c r="G854" s="321" t="s">
        <v>298</v>
      </c>
      <c r="H854" s="144">
        <f>bargiri[[#This Row],[میزان بارگیری شده]]*bargiri[[#This Row],[فی]]</f>
        <v>1332100000</v>
      </c>
      <c r="I854" s="321">
        <f>IF(year=bargiri[[#This Row],[سال]],1,0)</f>
        <v>0</v>
      </c>
      <c r="X854" s="1"/>
      <c r="Y854" s="1"/>
      <c r="Z854" s="1"/>
    </row>
    <row r="855" spans="1:26" ht="18.600000000000001" hidden="1" x14ac:dyDescent="0.25">
      <c r="A855" s="321" t="s">
        <v>167</v>
      </c>
      <c r="B855" s="321" t="s">
        <v>103</v>
      </c>
      <c r="C855" s="318" t="s">
        <v>30</v>
      </c>
      <c r="D855">
        <v>7395</v>
      </c>
      <c r="E855" s="143">
        <v>70000</v>
      </c>
      <c r="F855" s="117">
        <v>1403</v>
      </c>
      <c r="G855" s="321" t="s">
        <v>298</v>
      </c>
      <c r="H855" s="144">
        <f>bargiri[[#This Row],[میزان بارگیری شده]]*bargiri[[#This Row],[فی]]</f>
        <v>517650000</v>
      </c>
      <c r="I855" s="321">
        <f>IF(year=bargiri[[#This Row],[سال]],1,0)</f>
        <v>0</v>
      </c>
      <c r="X855" s="1"/>
      <c r="Y855" s="1"/>
      <c r="Z855" s="1"/>
    </row>
    <row r="856" spans="1:26" ht="18.600000000000001" hidden="1" x14ac:dyDescent="0.25">
      <c r="A856" s="321" t="s">
        <v>167</v>
      </c>
      <c r="B856" s="321" t="s">
        <v>113</v>
      </c>
      <c r="C856" s="318" t="s">
        <v>61</v>
      </c>
      <c r="D856">
        <v>21080</v>
      </c>
      <c r="E856" s="143">
        <v>75000</v>
      </c>
      <c r="F856" s="117">
        <v>1403</v>
      </c>
      <c r="G856" s="321" t="s">
        <v>298</v>
      </c>
      <c r="H856" s="144">
        <f>bargiri[[#This Row],[میزان بارگیری شده]]*bargiri[[#This Row],[فی]]</f>
        <v>1581000000</v>
      </c>
      <c r="I856" s="321">
        <f>IF(year=bargiri[[#This Row],[سال]],1,0)</f>
        <v>0</v>
      </c>
      <c r="X856" s="1"/>
      <c r="Y856" s="1"/>
      <c r="Z856" s="1"/>
    </row>
    <row r="857" spans="1:26" ht="18.600000000000001" hidden="1" x14ac:dyDescent="0.25">
      <c r="A857" s="321" t="s">
        <v>192</v>
      </c>
      <c r="B857" s="321" t="s">
        <v>101</v>
      </c>
      <c r="C857" s="318" t="s">
        <v>18</v>
      </c>
      <c r="D857">
        <v>6250</v>
      </c>
      <c r="E857" s="143">
        <v>92000</v>
      </c>
      <c r="F857" s="117">
        <v>1403</v>
      </c>
      <c r="G857" s="321" t="s">
        <v>298</v>
      </c>
      <c r="H857" s="144">
        <f>bargiri[[#This Row],[میزان بارگیری شده]]*bargiri[[#This Row],[فی]]</f>
        <v>575000000</v>
      </c>
      <c r="I857" s="321">
        <f>IF(year=bargiri[[#This Row],[سال]],1,0)</f>
        <v>0</v>
      </c>
      <c r="X857" s="1"/>
      <c r="Y857" s="1"/>
      <c r="Z857" s="1"/>
    </row>
    <row r="858" spans="1:26" ht="18.600000000000001" hidden="1" x14ac:dyDescent="0.25">
      <c r="A858" s="321" t="s">
        <v>192</v>
      </c>
      <c r="B858" s="321" t="s">
        <v>101</v>
      </c>
      <c r="C858" s="318" t="s">
        <v>19</v>
      </c>
      <c r="D858">
        <v>15785</v>
      </c>
      <c r="E858" s="143">
        <v>75000</v>
      </c>
      <c r="F858" s="117">
        <v>1403</v>
      </c>
      <c r="G858" s="321" t="s">
        <v>298</v>
      </c>
      <c r="H858" s="144">
        <f>bargiri[[#This Row],[میزان بارگیری شده]]*bargiri[[#This Row],[فی]]</f>
        <v>1183875000</v>
      </c>
      <c r="I858" s="321">
        <f>IF(year=bargiri[[#This Row],[سال]],1,0)</f>
        <v>0</v>
      </c>
      <c r="X858" s="1"/>
      <c r="Y858" s="1"/>
      <c r="Z858" s="1"/>
    </row>
    <row r="859" spans="1:26" ht="18.600000000000001" hidden="1" x14ac:dyDescent="0.25">
      <c r="A859" s="321" t="s">
        <v>373</v>
      </c>
      <c r="B859" s="321" t="s">
        <v>122</v>
      </c>
      <c r="C859" s="318" t="s">
        <v>91</v>
      </c>
      <c r="D859">
        <v>22365</v>
      </c>
      <c r="E859" s="143">
        <v>75000</v>
      </c>
      <c r="F859" s="117">
        <v>1403</v>
      </c>
      <c r="G859" s="321" t="s">
        <v>298</v>
      </c>
      <c r="H859" s="144">
        <f>bargiri[[#This Row],[میزان بارگیری شده]]*bargiri[[#This Row],[فی]]</f>
        <v>1677375000</v>
      </c>
      <c r="I859" s="321">
        <f>IF(year=bargiri[[#This Row],[سال]],1,0)</f>
        <v>0</v>
      </c>
      <c r="X859" s="1"/>
      <c r="Y859" s="1"/>
      <c r="Z859" s="1"/>
    </row>
    <row r="860" spans="1:26" ht="18.600000000000001" hidden="1" x14ac:dyDescent="0.25">
      <c r="A860" s="321" t="s">
        <v>372</v>
      </c>
      <c r="B860" s="321" t="s">
        <v>123</v>
      </c>
      <c r="C860" s="318" t="s">
        <v>93</v>
      </c>
      <c r="D860">
        <v>7765</v>
      </c>
      <c r="E860" s="143">
        <v>75000</v>
      </c>
      <c r="F860" s="117">
        <v>1403</v>
      </c>
      <c r="G860" s="321" t="s">
        <v>298</v>
      </c>
      <c r="H860" s="144">
        <f>bargiri[[#This Row],[میزان بارگیری شده]]*bargiri[[#This Row],[فی]]</f>
        <v>582375000</v>
      </c>
      <c r="I860" s="321">
        <f>IF(year=bargiri[[#This Row],[سال]],1,0)</f>
        <v>0</v>
      </c>
      <c r="X860" s="1"/>
      <c r="Y860" s="1"/>
      <c r="Z860" s="1"/>
    </row>
    <row r="861" spans="1:26" ht="18.600000000000001" x14ac:dyDescent="0.25">
      <c r="A861" s="321" t="s">
        <v>372</v>
      </c>
      <c r="B861" s="321" t="s">
        <v>118</v>
      </c>
      <c r="C861" s="318" t="s">
        <v>84</v>
      </c>
      <c r="D861">
        <v>21150</v>
      </c>
      <c r="E861" s="143">
        <v>57273</v>
      </c>
      <c r="F861" s="117">
        <v>1403</v>
      </c>
      <c r="G861" s="321" t="s">
        <v>298</v>
      </c>
      <c r="H861" s="144">
        <f>bargiri[[#This Row],[میزان بارگیری شده]]*bargiri[[#This Row],[فی]]</f>
        <v>1211323950</v>
      </c>
      <c r="I861" s="321">
        <f>IF(year=bargiri[[#This Row],[سال]],1,0)</f>
        <v>0</v>
      </c>
      <c r="X861" s="1"/>
      <c r="Y861" s="1"/>
      <c r="Z861" s="1"/>
    </row>
    <row r="862" spans="1:26" ht="18.600000000000001" x14ac:dyDescent="0.25">
      <c r="A862" s="321" t="s">
        <v>372</v>
      </c>
      <c r="B862" s="321" t="s">
        <v>118</v>
      </c>
      <c r="C862" s="318" t="s">
        <v>84</v>
      </c>
      <c r="D862">
        <v>20565</v>
      </c>
      <c r="E862" s="143">
        <v>57273</v>
      </c>
      <c r="F862" s="117">
        <v>1403</v>
      </c>
      <c r="G862" s="321" t="s">
        <v>298</v>
      </c>
      <c r="H862" s="144">
        <f>bargiri[[#This Row],[میزان بارگیری شده]]*bargiri[[#This Row],[فی]]</f>
        <v>1177819245</v>
      </c>
      <c r="I862" s="321">
        <f>IF(year=bargiri[[#This Row],[سال]],1,0)</f>
        <v>0</v>
      </c>
      <c r="X862" s="1"/>
      <c r="Y862" s="1"/>
      <c r="Z862" s="1"/>
    </row>
    <row r="863" spans="1:26" ht="18.600000000000001" hidden="1" x14ac:dyDescent="0.25">
      <c r="A863" s="321" t="s">
        <v>372</v>
      </c>
      <c r="B863" s="321" t="s">
        <v>115</v>
      </c>
      <c r="C863" s="318" t="s">
        <v>65</v>
      </c>
      <c r="D863">
        <v>23195</v>
      </c>
      <c r="E863" s="143">
        <v>75000</v>
      </c>
      <c r="F863" s="117">
        <v>1403</v>
      </c>
      <c r="G863" s="321" t="s">
        <v>298</v>
      </c>
      <c r="H863" s="144">
        <f>bargiri[[#This Row],[میزان بارگیری شده]]*bargiri[[#This Row],[فی]]</f>
        <v>1739625000</v>
      </c>
      <c r="I863" s="321">
        <f>IF(year=bargiri[[#This Row],[سال]],1,0)</f>
        <v>0</v>
      </c>
      <c r="X863" s="1"/>
      <c r="Y863" s="1"/>
      <c r="Z863" s="1"/>
    </row>
    <row r="864" spans="1:26" ht="18.600000000000001" hidden="1" x14ac:dyDescent="0.25">
      <c r="A864" s="321" t="s">
        <v>372</v>
      </c>
      <c r="B864" s="321" t="s">
        <v>107</v>
      </c>
      <c r="C864" s="318" t="s">
        <v>50</v>
      </c>
      <c r="D864">
        <v>18990</v>
      </c>
      <c r="E864" s="143">
        <v>70000</v>
      </c>
      <c r="F864" s="117">
        <v>1403</v>
      </c>
      <c r="G864" s="321" t="s">
        <v>298</v>
      </c>
      <c r="H864" s="144">
        <f>bargiri[[#This Row],[میزان بارگیری شده]]*bargiri[[#This Row],[فی]]</f>
        <v>1329300000</v>
      </c>
      <c r="I864" s="321">
        <f>IF(year=bargiri[[#This Row],[سال]],1,0)</f>
        <v>0</v>
      </c>
      <c r="X864" s="1"/>
      <c r="Y864" s="1"/>
      <c r="Z864" s="1"/>
    </row>
    <row r="865" spans="1:26" ht="18.600000000000001" hidden="1" x14ac:dyDescent="0.25">
      <c r="A865" s="321" t="s">
        <v>374</v>
      </c>
      <c r="B865" s="321" t="s">
        <v>106</v>
      </c>
      <c r="C865" s="318" t="s">
        <v>48</v>
      </c>
      <c r="D865">
        <v>21010</v>
      </c>
      <c r="E865" s="143">
        <v>65000</v>
      </c>
      <c r="F865" s="117">
        <v>1403</v>
      </c>
      <c r="G865" s="321" t="s">
        <v>298</v>
      </c>
      <c r="H865" s="144">
        <f>bargiri[[#This Row],[میزان بارگیری شده]]*bargiri[[#This Row],[فی]]</f>
        <v>1365650000</v>
      </c>
      <c r="I865" s="321">
        <f>IF(year=bargiri[[#This Row],[سال]],1,0)</f>
        <v>0</v>
      </c>
      <c r="X865" s="1"/>
      <c r="Y865" s="1"/>
      <c r="Z865" s="1"/>
    </row>
    <row r="866" spans="1:26" ht="18.600000000000001" hidden="1" x14ac:dyDescent="0.25">
      <c r="A866" s="321" t="s">
        <v>374</v>
      </c>
      <c r="B866" s="321" t="s">
        <v>116</v>
      </c>
      <c r="C866" s="318" t="s">
        <v>77</v>
      </c>
      <c r="D866">
        <v>19935</v>
      </c>
      <c r="E866" s="143">
        <v>68500</v>
      </c>
      <c r="F866" s="117">
        <v>1403</v>
      </c>
      <c r="G866" s="321" t="s">
        <v>298</v>
      </c>
      <c r="H866" s="144">
        <f>bargiri[[#This Row],[میزان بارگیری شده]]*bargiri[[#This Row],[فی]]</f>
        <v>1365547500</v>
      </c>
      <c r="I866" s="321">
        <f>IF(year=bargiri[[#This Row],[سال]],1,0)</f>
        <v>0</v>
      </c>
      <c r="X866" s="1"/>
      <c r="Y866" s="1"/>
      <c r="Z866" s="1"/>
    </row>
    <row r="867" spans="1:26" ht="18.600000000000001" hidden="1" x14ac:dyDescent="0.25">
      <c r="A867" s="321" t="s">
        <v>374</v>
      </c>
      <c r="B867" s="321" t="s">
        <v>103</v>
      </c>
      <c r="C867" s="318" t="s">
        <v>30</v>
      </c>
      <c r="D867">
        <v>7310</v>
      </c>
      <c r="E867" s="143">
        <v>70000</v>
      </c>
      <c r="F867" s="117">
        <v>1403</v>
      </c>
      <c r="G867" s="321" t="s">
        <v>298</v>
      </c>
      <c r="H867" s="144">
        <f>bargiri[[#This Row],[میزان بارگیری شده]]*bargiri[[#This Row],[فی]]</f>
        <v>511700000</v>
      </c>
      <c r="I867" s="321">
        <f>IF(year=bargiri[[#This Row],[سال]],1,0)</f>
        <v>0</v>
      </c>
      <c r="X867" s="1"/>
      <c r="Y867" s="1"/>
      <c r="Z867" s="1"/>
    </row>
    <row r="868" spans="1:26" ht="18.600000000000001" hidden="1" x14ac:dyDescent="0.25">
      <c r="A868" s="321" t="s">
        <v>374</v>
      </c>
      <c r="B868" s="321" t="s">
        <v>106</v>
      </c>
      <c r="C868" s="318" t="s">
        <v>48</v>
      </c>
      <c r="D868">
        <v>22075</v>
      </c>
      <c r="E868" s="143">
        <v>65000</v>
      </c>
      <c r="F868" s="117">
        <v>1403</v>
      </c>
      <c r="G868" s="321" t="s">
        <v>298</v>
      </c>
      <c r="H868" s="144">
        <f>bargiri[[#This Row],[میزان بارگیری شده]]*bargiri[[#This Row],[فی]]</f>
        <v>1434875000</v>
      </c>
      <c r="I868" s="321">
        <f>IF(year=bargiri[[#This Row],[سال]],1,0)</f>
        <v>0</v>
      </c>
      <c r="X868" s="1"/>
      <c r="Y868" s="1"/>
      <c r="Z868" s="1"/>
    </row>
    <row r="869" spans="1:26" ht="18.600000000000001" hidden="1" x14ac:dyDescent="0.25">
      <c r="A869" s="321" t="s">
        <v>374</v>
      </c>
      <c r="B869" s="321" t="s">
        <v>113</v>
      </c>
      <c r="C869" s="318" t="s">
        <v>61</v>
      </c>
      <c r="D869">
        <v>20975</v>
      </c>
      <c r="E869" s="143">
        <v>75000</v>
      </c>
      <c r="F869" s="117">
        <v>1403</v>
      </c>
      <c r="G869" s="321" t="s">
        <v>298</v>
      </c>
      <c r="H869" s="144">
        <f>bargiri[[#This Row],[میزان بارگیری شده]]*bargiri[[#This Row],[فی]]</f>
        <v>1573125000</v>
      </c>
      <c r="I869" s="321">
        <f>IF(year=bargiri[[#This Row],[سال]],1,0)</f>
        <v>0</v>
      </c>
      <c r="X869" s="1"/>
      <c r="Y869" s="1"/>
      <c r="Z869" s="1"/>
    </row>
    <row r="870" spans="1:26" ht="18.600000000000001" hidden="1" x14ac:dyDescent="0.25">
      <c r="A870" s="321" t="s">
        <v>375</v>
      </c>
      <c r="B870" s="321" t="s">
        <v>117</v>
      </c>
      <c r="C870" s="318" t="s">
        <v>80</v>
      </c>
      <c r="D870">
        <v>9710</v>
      </c>
      <c r="E870" s="143">
        <v>73000</v>
      </c>
      <c r="F870" s="117">
        <v>1403</v>
      </c>
      <c r="G870" s="321" t="s">
        <v>298</v>
      </c>
      <c r="H870" s="144">
        <f>bargiri[[#This Row],[میزان بارگیری شده]]*bargiri[[#This Row],[فی]]</f>
        <v>708830000</v>
      </c>
      <c r="I870" s="321">
        <f>IF(year=bargiri[[#This Row],[سال]],1,0)</f>
        <v>0</v>
      </c>
      <c r="X870" s="1"/>
      <c r="Y870" s="1"/>
      <c r="Z870" s="1"/>
    </row>
    <row r="871" spans="1:26" ht="18.600000000000001" hidden="1" x14ac:dyDescent="0.25">
      <c r="A871" s="321" t="s">
        <v>375</v>
      </c>
      <c r="B871" s="321" t="s">
        <v>117</v>
      </c>
      <c r="C871" s="318" t="s">
        <v>82</v>
      </c>
      <c r="D871">
        <v>10440</v>
      </c>
      <c r="E871" s="143">
        <v>70000</v>
      </c>
      <c r="F871" s="117">
        <v>1403</v>
      </c>
      <c r="G871" s="321" t="s">
        <v>298</v>
      </c>
      <c r="H871" s="144">
        <f>bargiri[[#This Row],[میزان بارگیری شده]]*bargiri[[#This Row],[فی]]</f>
        <v>730800000</v>
      </c>
      <c r="I871" s="321">
        <f>IF(year=bargiri[[#This Row],[سال]],1,0)</f>
        <v>0</v>
      </c>
      <c r="X871" s="1"/>
      <c r="Y871" s="1"/>
      <c r="Z871" s="1"/>
    </row>
    <row r="872" spans="1:26" ht="18.600000000000001" hidden="1" x14ac:dyDescent="0.25">
      <c r="A872" s="321" t="s">
        <v>192</v>
      </c>
      <c r="B872" s="321" t="s">
        <v>116</v>
      </c>
      <c r="C872" s="318" t="s">
        <v>77</v>
      </c>
      <c r="D872">
        <v>20040</v>
      </c>
      <c r="E872" s="143">
        <v>68500</v>
      </c>
      <c r="F872" s="117">
        <v>1403</v>
      </c>
      <c r="G872" s="321" t="s">
        <v>298</v>
      </c>
      <c r="H872" s="144">
        <f>bargiri[[#This Row],[میزان بارگیری شده]]*bargiri[[#This Row],[فی]]</f>
        <v>1372740000</v>
      </c>
      <c r="I872" s="321">
        <f>IF(year=bargiri[[#This Row],[سال]],1,0)</f>
        <v>0</v>
      </c>
      <c r="X872" s="1"/>
      <c r="Y872" s="1"/>
      <c r="Z872" s="1"/>
    </row>
    <row r="873" spans="1:26" ht="18.600000000000001" hidden="1" x14ac:dyDescent="0.25">
      <c r="A873" s="321" t="s">
        <v>375</v>
      </c>
      <c r="B873" s="321" t="s">
        <v>113</v>
      </c>
      <c r="C873" s="318" t="s">
        <v>61</v>
      </c>
      <c r="D873">
        <v>20865</v>
      </c>
      <c r="E873" s="143">
        <v>75000</v>
      </c>
      <c r="F873" s="117">
        <v>1403</v>
      </c>
      <c r="G873" s="321" t="s">
        <v>298</v>
      </c>
      <c r="H873" s="144">
        <f>bargiri[[#This Row],[میزان بارگیری شده]]*bargiri[[#This Row],[فی]]</f>
        <v>1564875000</v>
      </c>
      <c r="I873" s="321">
        <f>IF(year=bargiri[[#This Row],[سال]],1,0)</f>
        <v>0</v>
      </c>
      <c r="X873" s="1"/>
      <c r="Y873" s="1"/>
      <c r="Z873" s="1"/>
    </row>
    <row r="874" spans="1:26" ht="18.600000000000001" hidden="1" x14ac:dyDescent="0.25">
      <c r="A874" s="321" t="s">
        <v>375</v>
      </c>
      <c r="B874" s="321" t="s">
        <v>102</v>
      </c>
      <c r="C874" s="318" t="s">
        <v>25</v>
      </c>
      <c r="D874">
        <v>12110</v>
      </c>
      <c r="E874" s="143">
        <v>65000</v>
      </c>
      <c r="F874" s="117">
        <v>1403</v>
      </c>
      <c r="G874" s="321" t="s">
        <v>298</v>
      </c>
      <c r="H874" s="144">
        <f>bargiri[[#This Row],[میزان بارگیری شده]]*bargiri[[#This Row],[فی]]</f>
        <v>787150000</v>
      </c>
      <c r="I874" s="321">
        <f>IF(year=bargiri[[#This Row],[سال]],1,0)</f>
        <v>0</v>
      </c>
      <c r="X874" s="1"/>
      <c r="Y874" s="1"/>
      <c r="Z874" s="1"/>
    </row>
    <row r="875" spans="1:26" ht="18.600000000000001" hidden="1" x14ac:dyDescent="0.25">
      <c r="A875" s="321" t="s">
        <v>375</v>
      </c>
      <c r="B875" s="321" t="s">
        <v>103</v>
      </c>
      <c r="C875" s="318" t="s">
        <v>30</v>
      </c>
      <c r="D875">
        <v>6815</v>
      </c>
      <c r="E875" s="143">
        <v>70000</v>
      </c>
      <c r="F875" s="117">
        <v>1403</v>
      </c>
      <c r="G875" s="321" t="s">
        <v>298</v>
      </c>
      <c r="H875" s="144">
        <f>bargiri[[#This Row],[میزان بارگیری شده]]*bargiri[[#This Row],[فی]]</f>
        <v>477050000</v>
      </c>
      <c r="I875" s="321">
        <f>IF(year=bargiri[[#This Row],[سال]],1,0)</f>
        <v>0</v>
      </c>
      <c r="X875" s="1"/>
      <c r="Y875" s="1"/>
      <c r="Z875" s="1"/>
    </row>
    <row r="876" spans="1:26" ht="18.600000000000001" hidden="1" x14ac:dyDescent="0.25">
      <c r="A876" s="321" t="s">
        <v>375</v>
      </c>
      <c r="B876" s="321" t="s">
        <v>113</v>
      </c>
      <c r="C876" s="318" t="s">
        <v>61</v>
      </c>
      <c r="D876">
        <v>20915</v>
      </c>
      <c r="E876" s="143">
        <v>75000</v>
      </c>
      <c r="F876" s="117">
        <v>1403</v>
      </c>
      <c r="G876" s="321" t="s">
        <v>298</v>
      </c>
      <c r="H876" s="144">
        <f>bargiri[[#This Row],[میزان بارگیری شده]]*bargiri[[#This Row],[فی]]</f>
        <v>1568625000</v>
      </c>
      <c r="I876" s="321">
        <f>IF(year=bargiri[[#This Row],[سال]],1,0)</f>
        <v>0</v>
      </c>
      <c r="X876" s="1"/>
      <c r="Y876" s="1"/>
      <c r="Z876" s="1"/>
    </row>
    <row r="877" spans="1:26" ht="18.600000000000001" hidden="1" x14ac:dyDescent="0.25">
      <c r="A877" s="321" t="s">
        <v>375</v>
      </c>
      <c r="B877" s="321" t="s">
        <v>122</v>
      </c>
      <c r="C877" s="318" t="s">
        <v>91</v>
      </c>
      <c r="D877">
        <v>22200</v>
      </c>
      <c r="E877" s="143">
        <v>75000</v>
      </c>
      <c r="F877" s="117">
        <v>1403</v>
      </c>
      <c r="G877" s="321" t="s">
        <v>298</v>
      </c>
      <c r="H877" s="144">
        <f>bargiri[[#This Row],[میزان بارگیری شده]]*bargiri[[#This Row],[فی]]</f>
        <v>1665000000</v>
      </c>
      <c r="I877" s="321">
        <f>IF(year=bargiri[[#This Row],[سال]],1,0)</f>
        <v>0</v>
      </c>
      <c r="X877" s="1"/>
      <c r="Y877" s="1"/>
      <c r="Z877" s="1"/>
    </row>
    <row r="878" spans="1:26" ht="18.600000000000001" hidden="1" x14ac:dyDescent="0.25">
      <c r="A878" s="321" t="s">
        <v>376</v>
      </c>
      <c r="B878" s="321" t="s">
        <v>120</v>
      </c>
      <c r="C878" s="318" t="s">
        <v>88</v>
      </c>
      <c r="D878">
        <v>9615</v>
      </c>
      <c r="E878" s="143">
        <v>80000</v>
      </c>
      <c r="F878" s="117">
        <v>1403</v>
      </c>
      <c r="G878" s="321" t="s">
        <v>298</v>
      </c>
      <c r="H878" s="144">
        <f>bargiri[[#This Row],[میزان بارگیری شده]]*bargiri[[#This Row],[فی]]</f>
        <v>769200000</v>
      </c>
      <c r="I878" s="321">
        <f>IF(year=bargiri[[#This Row],[سال]],1,0)</f>
        <v>0</v>
      </c>
      <c r="X878" s="1"/>
      <c r="Y878" s="1"/>
      <c r="Z878" s="1"/>
    </row>
    <row r="879" spans="1:26" ht="18.600000000000001" x14ac:dyDescent="0.25">
      <c r="A879" s="321" t="s">
        <v>376</v>
      </c>
      <c r="B879" s="321" t="s">
        <v>118</v>
      </c>
      <c r="C879" s="318" t="s">
        <v>84</v>
      </c>
      <c r="D879">
        <v>20985</v>
      </c>
      <c r="E879" s="143">
        <v>57273</v>
      </c>
      <c r="F879" s="117">
        <v>1403</v>
      </c>
      <c r="G879" s="321" t="s">
        <v>298</v>
      </c>
      <c r="H879" s="144">
        <f>bargiri[[#This Row],[میزان بارگیری شده]]*bargiri[[#This Row],[فی]]</f>
        <v>1201873905</v>
      </c>
      <c r="I879" s="321">
        <f>IF(year=bargiri[[#This Row],[سال]],1,0)</f>
        <v>0</v>
      </c>
      <c r="X879" s="1"/>
      <c r="Y879" s="1"/>
      <c r="Z879" s="1"/>
    </row>
    <row r="880" spans="1:26" ht="18.600000000000001" hidden="1" x14ac:dyDescent="0.25">
      <c r="A880" s="321" t="s">
        <v>376</v>
      </c>
      <c r="B880" s="321" t="s">
        <v>107</v>
      </c>
      <c r="C880" s="318" t="s">
        <v>50</v>
      </c>
      <c r="D880">
        <v>20000</v>
      </c>
      <c r="E880" s="143">
        <v>70000</v>
      </c>
      <c r="F880" s="117">
        <v>1403</v>
      </c>
      <c r="G880" s="321" t="s">
        <v>298</v>
      </c>
      <c r="H880" s="144">
        <f>bargiri[[#This Row],[میزان بارگیری شده]]*bargiri[[#This Row],[فی]]</f>
        <v>1400000000</v>
      </c>
      <c r="I880" s="321">
        <f>IF(year=bargiri[[#This Row],[سال]],1,0)</f>
        <v>0</v>
      </c>
      <c r="X880" s="1"/>
      <c r="Y880" s="1"/>
      <c r="Z880" s="1"/>
    </row>
    <row r="881" spans="1:26" ht="18.600000000000001" x14ac:dyDescent="0.25">
      <c r="A881" s="321" t="s">
        <v>192</v>
      </c>
      <c r="B881" s="321" t="s">
        <v>118</v>
      </c>
      <c r="C881" s="318" t="s">
        <v>84</v>
      </c>
      <c r="D881">
        <v>21070</v>
      </c>
      <c r="E881" s="143">
        <v>57273</v>
      </c>
      <c r="F881" s="117">
        <v>1403</v>
      </c>
      <c r="G881" s="321" t="s">
        <v>298</v>
      </c>
      <c r="H881" s="144">
        <f>bargiri[[#This Row],[میزان بارگیری شده]]*bargiri[[#This Row],[فی]]</f>
        <v>1206742110</v>
      </c>
      <c r="I881" s="321">
        <f>IF(year=bargiri[[#This Row],[سال]],1,0)</f>
        <v>0</v>
      </c>
      <c r="X881" s="1"/>
      <c r="Y881" s="1"/>
      <c r="Z881" s="1"/>
    </row>
    <row r="882" spans="1:26" ht="18.600000000000001" x14ac:dyDescent="0.25">
      <c r="A882" s="321" t="s">
        <v>192</v>
      </c>
      <c r="B882" s="321" t="s">
        <v>118</v>
      </c>
      <c r="C882" s="318" t="s">
        <v>84</v>
      </c>
      <c r="D882">
        <v>21505</v>
      </c>
      <c r="E882" s="143">
        <v>57273</v>
      </c>
      <c r="F882" s="117">
        <v>1403</v>
      </c>
      <c r="G882" s="321" t="s">
        <v>298</v>
      </c>
      <c r="H882" s="144">
        <f>bargiri[[#This Row],[میزان بارگیری شده]]*bargiri[[#This Row],[فی]]</f>
        <v>1231655865</v>
      </c>
      <c r="I882" s="321">
        <f>IF(year=bargiri[[#This Row],[سال]],1,0)</f>
        <v>0</v>
      </c>
      <c r="X882" s="1"/>
      <c r="Y882" s="1"/>
      <c r="Z882" s="1"/>
    </row>
    <row r="883" spans="1:26" ht="18.600000000000001" hidden="1" x14ac:dyDescent="0.25">
      <c r="A883" s="321" t="s">
        <v>192</v>
      </c>
      <c r="B883" s="321" t="s">
        <v>122</v>
      </c>
      <c r="C883" s="318" t="s">
        <v>91</v>
      </c>
      <c r="D883">
        <v>22070</v>
      </c>
      <c r="E883" s="143">
        <v>75000</v>
      </c>
      <c r="F883" s="117">
        <v>1403</v>
      </c>
      <c r="G883" s="321" t="s">
        <v>298</v>
      </c>
      <c r="H883" s="144">
        <f>bargiri[[#This Row],[میزان بارگیری شده]]*bargiri[[#This Row],[فی]]</f>
        <v>1655250000</v>
      </c>
      <c r="I883" s="321">
        <f>IF(year=bargiri[[#This Row],[سال]],1,0)</f>
        <v>0</v>
      </c>
      <c r="X883" s="1"/>
      <c r="Y883" s="1"/>
      <c r="Z883" s="1"/>
    </row>
    <row r="884" spans="1:26" ht="18.600000000000001" hidden="1" x14ac:dyDescent="0.25">
      <c r="A884" s="321" t="s">
        <v>135</v>
      </c>
      <c r="B884" s="321" t="s">
        <v>116</v>
      </c>
      <c r="C884" s="318" t="s">
        <v>77</v>
      </c>
      <c r="D884">
        <v>20185</v>
      </c>
      <c r="E884" s="143">
        <v>68500</v>
      </c>
      <c r="F884" s="117">
        <v>1403</v>
      </c>
      <c r="G884" s="321" t="s">
        <v>298</v>
      </c>
      <c r="H884" s="144">
        <f>bargiri[[#This Row],[میزان بارگیری شده]]*bargiri[[#This Row],[فی]]</f>
        <v>1382672500</v>
      </c>
      <c r="I884" s="321">
        <f>IF(year=bargiri[[#This Row],[سال]],1,0)</f>
        <v>0</v>
      </c>
      <c r="X884" s="1"/>
      <c r="Y884" s="1"/>
      <c r="Z884" s="1"/>
    </row>
    <row r="885" spans="1:26" ht="18.600000000000001" hidden="1" x14ac:dyDescent="0.25">
      <c r="A885" s="321" t="s">
        <v>135</v>
      </c>
      <c r="B885" s="321" t="s">
        <v>107</v>
      </c>
      <c r="C885" s="318" t="s">
        <v>50</v>
      </c>
      <c r="D885">
        <v>19095</v>
      </c>
      <c r="E885" s="143">
        <v>70000</v>
      </c>
      <c r="F885" s="117">
        <v>1403</v>
      </c>
      <c r="G885" s="321" t="s">
        <v>298</v>
      </c>
      <c r="H885" s="144">
        <f>bargiri[[#This Row],[میزان بارگیری شده]]*bargiri[[#This Row],[فی]]</f>
        <v>1336650000</v>
      </c>
      <c r="I885" s="321">
        <f>IF(year=bargiri[[#This Row],[سال]],1,0)</f>
        <v>0</v>
      </c>
      <c r="X885" s="1"/>
      <c r="Y885" s="1"/>
      <c r="Z885" s="1"/>
    </row>
    <row r="886" spans="1:26" ht="18.600000000000001" hidden="1" x14ac:dyDescent="0.25">
      <c r="A886" s="321" t="s">
        <v>135</v>
      </c>
      <c r="B886" s="321" t="s">
        <v>111</v>
      </c>
      <c r="C886" s="318" t="s">
        <v>59</v>
      </c>
      <c r="D886">
        <v>9985</v>
      </c>
      <c r="E886" s="143">
        <v>80000</v>
      </c>
      <c r="F886" s="117">
        <v>1403</v>
      </c>
      <c r="G886" s="321" t="s">
        <v>298</v>
      </c>
      <c r="H886" s="144">
        <f>bargiri[[#This Row],[میزان بارگیری شده]]*bargiri[[#This Row],[فی]]</f>
        <v>798800000</v>
      </c>
      <c r="I886" s="321">
        <f>IF(year=bargiri[[#This Row],[سال]],1,0)</f>
        <v>0</v>
      </c>
      <c r="X886" s="1"/>
      <c r="Y886" s="1"/>
      <c r="Z886" s="1"/>
    </row>
    <row r="887" spans="1:26" ht="18.600000000000001" hidden="1" x14ac:dyDescent="0.25">
      <c r="A887" s="321" t="s">
        <v>135</v>
      </c>
      <c r="B887" s="321" t="s">
        <v>116</v>
      </c>
      <c r="C887" s="318" t="s">
        <v>74</v>
      </c>
      <c r="D887">
        <v>20075</v>
      </c>
      <c r="E887" s="143">
        <v>75000</v>
      </c>
      <c r="F887" s="117">
        <v>1403</v>
      </c>
      <c r="G887" s="321" t="s">
        <v>298</v>
      </c>
      <c r="H887" s="144">
        <f>bargiri[[#This Row],[میزان بارگیری شده]]*bargiri[[#This Row],[فی]]</f>
        <v>1505625000</v>
      </c>
      <c r="I887" s="321">
        <f>IF(year=bargiri[[#This Row],[سال]],1,0)</f>
        <v>0</v>
      </c>
      <c r="X887" s="1"/>
      <c r="Y887" s="1"/>
      <c r="Z887" s="1"/>
    </row>
    <row r="888" spans="1:26" ht="18.600000000000001" hidden="1" x14ac:dyDescent="0.25">
      <c r="A888" s="321" t="s">
        <v>377</v>
      </c>
      <c r="B888" s="321" t="s">
        <v>120</v>
      </c>
      <c r="C888" s="318" t="s">
        <v>88</v>
      </c>
      <c r="D888">
        <v>9030</v>
      </c>
      <c r="E888" s="143">
        <v>80000</v>
      </c>
      <c r="F888" s="117">
        <v>1403</v>
      </c>
      <c r="G888" s="321" t="s">
        <v>298</v>
      </c>
      <c r="H888" s="144">
        <f>bargiri[[#This Row],[میزان بارگیری شده]]*bargiri[[#This Row],[فی]]</f>
        <v>722400000</v>
      </c>
      <c r="I888" s="321">
        <f>IF(year=bargiri[[#This Row],[سال]],1,0)</f>
        <v>0</v>
      </c>
      <c r="X888" s="1"/>
      <c r="Y888" s="1"/>
      <c r="Z888" s="1"/>
    </row>
    <row r="889" spans="1:26" ht="18.600000000000001" hidden="1" x14ac:dyDescent="0.25">
      <c r="A889" s="321" t="s">
        <v>377</v>
      </c>
      <c r="B889" s="321" t="s">
        <v>103</v>
      </c>
      <c r="C889" s="318" t="s">
        <v>30</v>
      </c>
      <c r="D889">
        <v>7280</v>
      </c>
      <c r="E889" s="143">
        <v>70000</v>
      </c>
      <c r="F889" s="117">
        <v>1403</v>
      </c>
      <c r="G889" s="321" t="s">
        <v>298</v>
      </c>
      <c r="H889" s="144">
        <f>bargiri[[#This Row],[میزان بارگیری شده]]*bargiri[[#This Row],[فی]]</f>
        <v>509600000</v>
      </c>
      <c r="I889" s="321">
        <f>IF(year=bargiri[[#This Row],[سال]],1,0)</f>
        <v>0</v>
      </c>
      <c r="X889" s="1"/>
      <c r="Y889" s="1"/>
      <c r="Z889" s="1"/>
    </row>
    <row r="890" spans="1:26" ht="18.600000000000001" hidden="1" x14ac:dyDescent="0.25">
      <c r="A890" s="321" t="s">
        <v>377</v>
      </c>
      <c r="B890" s="321" t="s">
        <v>103</v>
      </c>
      <c r="C890" s="318" t="s">
        <v>30</v>
      </c>
      <c r="D890">
        <v>7325</v>
      </c>
      <c r="E890" s="143">
        <v>70000</v>
      </c>
      <c r="F890" s="117">
        <v>1403</v>
      </c>
      <c r="G890" s="321" t="s">
        <v>298</v>
      </c>
      <c r="H890" s="144">
        <f>bargiri[[#This Row],[میزان بارگیری شده]]*bargiri[[#This Row],[فی]]</f>
        <v>512750000</v>
      </c>
      <c r="I890" s="321">
        <f>IF(year=bargiri[[#This Row],[سال]],1,0)</f>
        <v>0</v>
      </c>
      <c r="X890" s="1"/>
      <c r="Y890" s="1"/>
      <c r="Z890" s="1"/>
    </row>
    <row r="891" spans="1:26" ht="18.600000000000001" hidden="1" x14ac:dyDescent="0.25">
      <c r="A891" s="321" t="s">
        <v>377</v>
      </c>
      <c r="B891" s="321" t="s">
        <v>98</v>
      </c>
      <c r="C891" s="318" t="s">
        <v>8</v>
      </c>
      <c r="D891">
        <v>21775</v>
      </c>
      <c r="E891" s="143">
        <v>72000</v>
      </c>
      <c r="F891" s="117">
        <v>1403</v>
      </c>
      <c r="G891" s="321" t="s">
        <v>298</v>
      </c>
      <c r="H891" s="144">
        <f>bargiri[[#This Row],[میزان بارگیری شده]]*bargiri[[#This Row],[فی]]</f>
        <v>1567800000</v>
      </c>
      <c r="I891" s="321">
        <f>IF(year=bargiri[[#This Row],[سال]],1,0)</f>
        <v>0</v>
      </c>
      <c r="X891" s="1"/>
      <c r="Y891" s="1"/>
      <c r="Z891" s="1"/>
    </row>
    <row r="892" spans="1:26" ht="18.600000000000001" x14ac:dyDescent="0.25">
      <c r="A892" s="321" t="s">
        <v>377</v>
      </c>
      <c r="B892" s="321" t="s">
        <v>118</v>
      </c>
      <c r="C892" s="318" t="s">
        <v>84</v>
      </c>
      <c r="D892">
        <v>21330</v>
      </c>
      <c r="E892" s="143">
        <v>57273</v>
      </c>
      <c r="F892" s="117">
        <v>1403</v>
      </c>
      <c r="G892" s="321" t="s">
        <v>298</v>
      </c>
      <c r="H892" s="144">
        <f>bargiri[[#This Row],[میزان بارگیری شده]]*bargiri[[#This Row],[فی]]</f>
        <v>1221633090</v>
      </c>
      <c r="I892" s="321">
        <f>IF(year=bargiri[[#This Row],[سال]],1,0)</f>
        <v>0</v>
      </c>
      <c r="X892" s="1"/>
      <c r="Y892" s="1"/>
      <c r="Z892" s="1"/>
    </row>
    <row r="893" spans="1:26" ht="18.600000000000001" x14ac:dyDescent="0.25">
      <c r="A893" s="321" t="s">
        <v>377</v>
      </c>
      <c r="B893" s="321" t="s">
        <v>118</v>
      </c>
      <c r="C893" s="318" t="s">
        <v>84</v>
      </c>
      <c r="D893">
        <v>21345</v>
      </c>
      <c r="E893" s="143">
        <v>57273</v>
      </c>
      <c r="F893" s="117">
        <v>1403</v>
      </c>
      <c r="G893" s="321" t="s">
        <v>298</v>
      </c>
      <c r="H893" s="144">
        <f>bargiri[[#This Row],[میزان بارگیری شده]]*bargiri[[#This Row],[فی]]</f>
        <v>1222492185</v>
      </c>
      <c r="I893" s="321">
        <f>IF(year=bargiri[[#This Row],[سال]],1,0)</f>
        <v>0</v>
      </c>
      <c r="X893" s="1"/>
      <c r="Y893" s="1"/>
      <c r="Z893" s="1"/>
    </row>
    <row r="894" spans="1:26" ht="18.600000000000001" x14ac:dyDescent="0.25">
      <c r="A894" s="321" t="s">
        <v>377</v>
      </c>
      <c r="B894" s="321" t="s">
        <v>118</v>
      </c>
      <c r="C894" s="318" t="s">
        <v>84</v>
      </c>
      <c r="D894">
        <v>21500</v>
      </c>
      <c r="E894" s="143">
        <v>57273</v>
      </c>
      <c r="F894" s="117">
        <v>1403</v>
      </c>
      <c r="G894" s="321" t="s">
        <v>298</v>
      </c>
      <c r="H894" s="144">
        <f>bargiri[[#This Row],[میزان بارگیری شده]]*bargiri[[#This Row],[فی]]</f>
        <v>1231369500</v>
      </c>
      <c r="I894" s="321">
        <f>IF(year=bargiri[[#This Row],[سال]],1,0)</f>
        <v>0</v>
      </c>
      <c r="X894" s="1"/>
      <c r="Y894" s="1"/>
      <c r="Z894" s="1"/>
    </row>
    <row r="895" spans="1:26" ht="18.600000000000001" hidden="1" x14ac:dyDescent="0.25">
      <c r="A895" s="321" t="s">
        <v>378</v>
      </c>
      <c r="B895" s="321" t="s">
        <v>113</v>
      </c>
      <c r="C895" s="318" t="s">
        <v>61</v>
      </c>
      <c r="D895">
        <v>14785</v>
      </c>
      <c r="E895" s="143">
        <v>75000</v>
      </c>
      <c r="F895" s="117">
        <v>1403</v>
      </c>
      <c r="G895" s="321" t="s">
        <v>298</v>
      </c>
      <c r="H895" s="144">
        <f>bargiri[[#This Row],[میزان بارگیری شده]]*bargiri[[#This Row],[فی]]</f>
        <v>1108875000</v>
      </c>
      <c r="I895" s="321">
        <f>IF(year=bargiri[[#This Row],[سال]],1,0)</f>
        <v>0</v>
      </c>
      <c r="X895" s="1"/>
      <c r="Y895" s="1"/>
      <c r="Z895" s="1"/>
    </row>
    <row r="896" spans="1:26" ht="18.600000000000001" hidden="1" x14ac:dyDescent="0.25">
      <c r="A896" s="321" t="s">
        <v>378</v>
      </c>
      <c r="B896" s="321" t="s">
        <v>102</v>
      </c>
      <c r="C896" s="318" t="s">
        <v>25</v>
      </c>
      <c r="D896">
        <v>11945</v>
      </c>
      <c r="E896" s="143">
        <v>65000</v>
      </c>
      <c r="F896" s="117">
        <v>1403</v>
      </c>
      <c r="G896" s="321" t="s">
        <v>298</v>
      </c>
      <c r="H896" s="144">
        <f>bargiri[[#This Row],[میزان بارگیری شده]]*bargiri[[#This Row],[فی]]</f>
        <v>776425000</v>
      </c>
      <c r="I896" s="321">
        <f>IF(year=bargiri[[#This Row],[سال]],1,0)</f>
        <v>0</v>
      </c>
      <c r="X896" s="1"/>
      <c r="Y896" s="1"/>
      <c r="Z896" s="1"/>
    </row>
    <row r="897" spans="1:26" ht="18.600000000000001" hidden="1" x14ac:dyDescent="0.25">
      <c r="A897" s="321" t="s">
        <v>378</v>
      </c>
      <c r="B897" s="321" t="s">
        <v>103</v>
      </c>
      <c r="C897" s="318" t="s">
        <v>30</v>
      </c>
      <c r="D897">
        <v>7525</v>
      </c>
      <c r="E897" s="143">
        <v>70000</v>
      </c>
      <c r="F897" s="117">
        <v>1403</v>
      </c>
      <c r="G897" s="321" t="s">
        <v>298</v>
      </c>
      <c r="H897" s="144">
        <f>bargiri[[#This Row],[میزان بارگیری شده]]*bargiri[[#This Row],[فی]]</f>
        <v>526750000</v>
      </c>
      <c r="I897" s="321">
        <f>IF(year=bargiri[[#This Row],[سال]],1,0)</f>
        <v>0</v>
      </c>
      <c r="X897" s="1"/>
      <c r="Y897" s="1"/>
      <c r="Z897" s="1"/>
    </row>
    <row r="898" spans="1:26" ht="18.600000000000001" hidden="1" x14ac:dyDescent="0.25">
      <c r="A898" s="321" t="s">
        <v>378</v>
      </c>
      <c r="B898" s="321" t="s">
        <v>113</v>
      </c>
      <c r="C898" s="318" t="s">
        <v>61</v>
      </c>
      <c r="D898">
        <v>5125</v>
      </c>
      <c r="E898" s="143">
        <v>75000</v>
      </c>
      <c r="F898" s="117">
        <v>1403</v>
      </c>
      <c r="G898" s="321" t="s">
        <v>298</v>
      </c>
      <c r="H898" s="144">
        <f>bargiri[[#This Row],[میزان بارگیری شده]]*bargiri[[#This Row],[فی]]</f>
        <v>384375000</v>
      </c>
      <c r="I898" s="321">
        <f>IF(year=bargiri[[#This Row],[سال]],1,0)</f>
        <v>0</v>
      </c>
      <c r="X898" s="1"/>
      <c r="Y898" s="1"/>
      <c r="Z898" s="1"/>
    </row>
    <row r="899" spans="1:26" ht="18.600000000000001" hidden="1" x14ac:dyDescent="0.25">
      <c r="A899" s="321" t="s">
        <v>378</v>
      </c>
      <c r="B899" s="321" t="s">
        <v>113</v>
      </c>
      <c r="C899" s="318" t="s">
        <v>61</v>
      </c>
      <c r="D899">
        <v>14765</v>
      </c>
      <c r="E899" s="143">
        <v>75000</v>
      </c>
      <c r="F899" s="117">
        <v>1403</v>
      </c>
      <c r="G899" s="321" t="s">
        <v>298</v>
      </c>
      <c r="H899" s="144">
        <f>bargiri[[#This Row],[میزان بارگیری شده]]*bargiri[[#This Row],[فی]]</f>
        <v>1107375000</v>
      </c>
      <c r="I899" s="321">
        <f>IF(year=bargiri[[#This Row],[سال]],1,0)</f>
        <v>0</v>
      </c>
      <c r="X899" s="1"/>
      <c r="Y899" s="1"/>
      <c r="Z899" s="1"/>
    </row>
    <row r="900" spans="1:26" ht="18.600000000000001" hidden="1" x14ac:dyDescent="0.25">
      <c r="A900" s="321" t="s">
        <v>378</v>
      </c>
      <c r="B900" s="321" t="s">
        <v>107</v>
      </c>
      <c r="C900" s="318" t="s">
        <v>50</v>
      </c>
      <c r="D900">
        <v>19985</v>
      </c>
      <c r="E900" s="143">
        <v>70000</v>
      </c>
      <c r="F900" s="117">
        <v>1403</v>
      </c>
      <c r="G900" s="321" t="s">
        <v>298</v>
      </c>
      <c r="H900" s="144">
        <f>bargiri[[#This Row],[میزان بارگیری شده]]*bargiri[[#This Row],[فی]]</f>
        <v>1398950000</v>
      </c>
      <c r="I900" s="321">
        <f>IF(year=bargiri[[#This Row],[سال]],1,0)</f>
        <v>0</v>
      </c>
      <c r="X900" s="1"/>
      <c r="Y900" s="1"/>
      <c r="Z900" s="1"/>
    </row>
    <row r="901" spans="1:26" ht="18.600000000000001" x14ac:dyDescent="0.25">
      <c r="A901" s="321" t="s">
        <v>378</v>
      </c>
      <c r="B901" s="321" t="s">
        <v>118</v>
      </c>
      <c r="C901" s="318" t="s">
        <v>84</v>
      </c>
      <c r="D901">
        <v>21340</v>
      </c>
      <c r="E901" s="143">
        <v>57273</v>
      </c>
      <c r="F901" s="117">
        <v>1403</v>
      </c>
      <c r="G901" s="321" t="s">
        <v>298</v>
      </c>
      <c r="H901" s="144">
        <f>bargiri[[#This Row],[میزان بارگیری شده]]*bargiri[[#This Row],[فی]]</f>
        <v>1222205820</v>
      </c>
      <c r="I901" s="321">
        <f>IF(year=bargiri[[#This Row],[سال]],1,0)</f>
        <v>0</v>
      </c>
      <c r="X901" s="1"/>
      <c r="Y901" s="1"/>
      <c r="Z901" s="1"/>
    </row>
    <row r="902" spans="1:26" ht="18.600000000000001" hidden="1" x14ac:dyDescent="0.25">
      <c r="A902" s="321" t="s">
        <v>177</v>
      </c>
      <c r="B902" s="321" t="s">
        <v>106</v>
      </c>
      <c r="C902" s="318" t="s">
        <v>48</v>
      </c>
      <c r="D902">
        <v>21295</v>
      </c>
      <c r="E902" s="143">
        <v>65000</v>
      </c>
      <c r="F902" s="117">
        <v>1403</v>
      </c>
      <c r="G902" s="321" t="s">
        <v>298</v>
      </c>
      <c r="H902" s="144">
        <f>bargiri[[#This Row],[میزان بارگیری شده]]*bargiri[[#This Row],[فی]]</f>
        <v>1384175000</v>
      </c>
      <c r="I902" s="321">
        <f>IF(year=bargiri[[#This Row],[سال]],1,0)</f>
        <v>0</v>
      </c>
      <c r="X902" s="1"/>
      <c r="Y902" s="1"/>
      <c r="Z902" s="1"/>
    </row>
    <row r="903" spans="1:26" ht="18.600000000000001" hidden="1" x14ac:dyDescent="0.25">
      <c r="A903" s="321" t="s">
        <v>177</v>
      </c>
      <c r="B903" s="321" t="s">
        <v>106</v>
      </c>
      <c r="C903" s="318" t="s">
        <v>48</v>
      </c>
      <c r="D903">
        <v>15080</v>
      </c>
      <c r="E903" s="143">
        <v>65000</v>
      </c>
      <c r="F903" s="117">
        <v>1403</v>
      </c>
      <c r="G903" s="321" t="s">
        <v>298</v>
      </c>
      <c r="H903" s="144">
        <f>bargiri[[#This Row],[میزان بارگیری شده]]*bargiri[[#This Row],[فی]]</f>
        <v>980200000</v>
      </c>
      <c r="I903" s="321">
        <f>IF(year=bargiri[[#This Row],[سال]],1,0)</f>
        <v>0</v>
      </c>
      <c r="X903" s="1"/>
      <c r="Y903" s="1"/>
      <c r="Z903" s="1"/>
    </row>
    <row r="904" spans="1:26" ht="18.600000000000001" hidden="1" x14ac:dyDescent="0.25">
      <c r="A904" s="321" t="s">
        <v>177</v>
      </c>
      <c r="B904" s="321" t="s">
        <v>106</v>
      </c>
      <c r="C904" s="318" t="s">
        <v>48</v>
      </c>
      <c r="D904">
        <v>5330</v>
      </c>
      <c r="E904" s="143">
        <v>65000</v>
      </c>
      <c r="F904" s="117">
        <v>1403</v>
      </c>
      <c r="G904" s="321" t="s">
        <v>298</v>
      </c>
      <c r="H904" s="144">
        <f>bargiri[[#This Row],[میزان بارگیری شده]]*bargiri[[#This Row],[فی]]</f>
        <v>346450000</v>
      </c>
      <c r="I904" s="321">
        <f>IF(year=bargiri[[#This Row],[سال]],1,0)</f>
        <v>0</v>
      </c>
      <c r="X904" s="1"/>
      <c r="Y904" s="1"/>
      <c r="Z904" s="1"/>
    </row>
    <row r="905" spans="1:26" ht="18.600000000000001" hidden="1" x14ac:dyDescent="0.25">
      <c r="A905" s="321" t="s">
        <v>177</v>
      </c>
      <c r="B905" s="321" t="s">
        <v>120</v>
      </c>
      <c r="C905" s="318" t="s">
        <v>88</v>
      </c>
      <c r="D905">
        <v>9140</v>
      </c>
      <c r="E905" s="143">
        <v>80000</v>
      </c>
      <c r="F905" s="117">
        <v>1403</v>
      </c>
      <c r="G905" s="321" t="s">
        <v>298</v>
      </c>
      <c r="H905" s="144">
        <f>bargiri[[#This Row],[میزان بارگیری شده]]*bargiri[[#This Row],[فی]]</f>
        <v>731200000</v>
      </c>
      <c r="I905" s="321">
        <f>IF(year=bargiri[[#This Row],[سال]],1,0)</f>
        <v>0</v>
      </c>
      <c r="X905" s="1"/>
      <c r="Y905" s="1"/>
      <c r="Z905" s="1"/>
    </row>
    <row r="906" spans="1:26" ht="18.600000000000001" hidden="1" x14ac:dyDescent="0.25">
      <c r="A906" s="321" t="s">
        <v>379</v>
      </c>
      <c r="B906" s="321" t="s">
        <v>103</v>
      </c>
      <c r="C906" s="318" t="s">
        <v>30</v>
      </c>
      <c r="D906">
        <v>7515</v>
      </c>
      <c r="E906" s="143">
        <v>70000</v>
      </c>
      <c r="F906" s="117">
        <v>1403</v>
      </c>
      <c r="G906" s="321" t="s">
        <v>298</v>
      </c>
      <c r="H906" s="144">
        <f>bargiri[[#This Row],[میزان بارگیری شده]]*bargiri[[#This Row],[فی]]</f>
        <v>526050000</v>
      </c>
      <c r="I906" s="321">
        <f>IF(year=bargiri[[#This Row],[سال]],1,0)</f>
        <v>0</v>
      </c>
      <c r="X906" s="1"/>
      <c r="Y906" s="1"/>
      <c r="Z906" s="1"/>
    </row>
    <row r="907" spans="1:26" ht="18.600000000000001" hidden="1" x14ac:dyDescent="0.25">
      <c r="A907" s="321" t="s">
        <v>379</v>
      </c>
      <c r="B907" s="321" t="s">
        <v>122</v>
      </c>
      <c r="C907" s="318" t="s">
        <v>91</v>
      </c>
      <c r="D907">
        <v>22220</v>
      </c>
      <c r="E907" s="143">
        <v>75000</v>
      </c>
      <c r="F907" s="117">
        <v>1403</v>
      </c>
      <c r="G907" s="321" t="s">
        <v>298</v>
      </c>
      <c r="H907" s="144">
        <f>bargiri[[#This Row],[میزان بارگیری شده]]*bargiri[[#This Row],[فی]]</f>
        <v>1666500000</v>
      </c>
      <c r="I907" s="321">
        <f>IF(year=bargiri[[#This Row],[سال]],1,0)</f>
        <v>0</v>
      </c>
      <c r="X907" s="1"/>
      <c r="Y907" s="1"/>
      <c r="Z907" s="1"/>
    </row>
    <row r="908" spans="1:26" ht="18.600000000000001" hidden="1" x14ac:dyDescent="0.25">
      <c r="A908" s="321" t="s">
        <v>380</v>
      </c>
      <c r="B908" s="321" t="s">
        <v>120</v>
      </c>
      <c r="C908" s="318" t="s">
        <v>88</v>
      </c>
      <c r="D908">
        <v>7970</v>
      </c>
      <c r="E908" s="143">
        <v>80000</v>
      </c>
      <c r="F908" s="117">
        <v>1403</v>
      </c>
      <c r="G908" s="321" t="s">
        <v>298</v>
      </c>
      <c r="H908" s="144">
        <f>bargiri[[#This Row],[میزان بارگیری شده]]*bargiri[[#This Row],[فی]]</f>
        <v>637600000</v>
      </c>
      <c r="I908" s="321">
        <f>IF(year=bargiri[[#This Row],[سال]],1,0)</f>
        <v>0</v>
      </c>
      <c r="X908" s="1"/>
      <c r="Y908" s="1"/>
      <c r="Z908" s="1"/>
    </row>
    <row r="909" spans="1:26" ht="18.600000000000001" hidden="1" x14ac:dyDescent="0.25">
      <c r="A909" s="321" t="s">
        <v>380</v>
      </c>
      <c r="B909" s="321" t="s">
        <v>107</v>
      </c>
      <c r="C909" s="318" t="s">
        <v>50</v>
      </c>
      <c r="D909">
        <v>18980</v>
      </c>
      <c r="E909" s="143">
        <v>70000</v>
      </c>
      <c r="F909" s="117">
        <v>1403</v>
      </c>
      <c r="G909" s="321" t="s">
        <v>298</v>
      </c>
      <c r="H909" s="144">
        <f>bargiri[[#This Row],[میزان بارگیری شده]]*bargiri[[#This Row],[فی]]</f>
        <v>1328600000</v>
      </c>
      <c r="I909" s="321">
        <f>IF(year=bargiri[[#This Row],[سال]],1,0)</f>
        <v>0</v>
      </c>
      <c r="X909" s="1"/>
      <c r="Y909" s="1"/>
      <c r="Z909" s="1"/>
    </row>
    <row r="910" spans="1:26" ht="18.600000000000001" hidden="1" x14ac:dyDescent="0.25">
      <c r="A910" s="321" t="s">
        <v>380</v>
      </c>
      <c r="B910" s="321" t="s">
        <v>106</v>
      </c>
      <c r="C910" s="318" t="s">
        <v>48</v>
      </c>
      <c r="D910">
        <v>20855</v>
      </c>
      <c r="E910" s="143">
        <v>65000</v>
      </c>
      <c r="F910" s="117">
        <v>1403</v>
      </c>
      <c r="G910" s="321" t="s">
        <v>298</v>
      </c>
      <c r="H910" s="144">
        <f>bargiri[[#This Row],[میزان بارگیری شده]]*bargiri[[#This Row],[فی]]</f>
        <v>1355575000</v>
      </c>
      <c r="I910" s="321">
        <f>IF(year=bargiri[[#This Row],[سال]],1,0)</f>
        <v>0</v>
      </c>
      <c r="X910" s="1"/>
      <c r="Y910" s="1"/>
      <c r="Z910" s="1"/>
    </row>
    <row r="911" spans="1:26" ht="18.600000000000001" hidden="1" x14ac:dyDescent="0.25">
      <c r="A911" s="321" t="s">
        <v>381</v>
      </c>
      <c r="B911" s="321" t="s">
        <v>103</v>
      </c>
      <c r="C911" s="318" t="s">
        <v>30</v>
      </c>
      <c r="D911">
        <v>7190</v>
      </c>
      <c r="E911" s="143">
        <v>70000</v>
      </c>
      <c r="F911" s="117">
        <v>1403</v>
      </c>
      <c r="G911" s="321" t="s">
        <v>298</v>
      </c>
      <c r="H911" s="144">
        <f>bargiri[[#This Row],[میزان بارگیری شده]]*bargiri[[#This Row],[فی]]</f>
        <v>503300000</v>
      </c>
      <c r="I911" s="321">
        <f>IF(year=bargiri[[#This Row],[سال]],1,0)</f>
        <v>0</v>
      </c>
      <c r="X911" s="1"/>
      <c r="Y911" s="1"/>
      <c r="Z911" s="1"/>
    </row>
    <row r="912" spans="1:26" ht="18.600000000000001" hidden="1" x14ac:dyDescent="0.25">
      <c r="A912" s="321" t="s">
        <v>381</v>
      </c>
      <c r="B912" s="321" t="s">
        <v>106</v>
      </c>
      <c r="C912" s="318" t="s">
        <v>48</v>
      </c>
      <c r="D912">
        <v>21450</v>
      </c>
      <c r="E912" s="143">
        <v>65000</v>
      </c>
      <c r="F912" s="117">
        <v>1403</v>
      </c>
      <c r="G912" s="321" t="s">
        <v>298</v>
      </c>
      <c r="H912" s="144">
        <f>bargiri[[#This Row],[میزان بارگیری شده]]*bargiri[[#This Row],[فی]]</f>
        <v>1394250000</v>
      </c>
      <c r="I912" s="321">
        <f>IF(year=bargiri[[#This Row],[سال]],1,0)</f>
        <v>0</v>
      </c>
      <c r="X912" s="1"/>
      <c r="Y912" s="1"/>
      <c r="Z912" s="1"/>
    </row>
    <row r="913" spans="1:26" ht="18.600000000000001" hidden="1" x14ac:dyDescent="0.25">
      <c r="A913" s="321" t="s">
        <v>381</v>
      </c>
      <c r="B913" s="321" t="s">
        <v>101</v>
      </c>
      <c r="C913" s="318" t="s">
        <v>18</v>
      </c>
      <c r="D913">
        <v>22155</v>
      </c>
      <c r="E913" s="143">
        <v>92000</v>
      </c>
      <c r="F913" s="117">
        <v>1403</v>
      </c>
      <c r="G913" s="321" t="s">
        <v>298</v>
      </c>
      <c r="H913" s="144">
        <f>bargiri[[#This Row],[میزان بارگیری شده]]*bargiri[[#This Row],[فی]]</f>
        <v>2038260000</v>
      </c>
      <c r="I913" s="321">
        <f>IF(year=bargiri[[#This Row],[سال]],1,0)</f>
        <v>0</v>
      </c>
      <c r="X913" s="1"/>
      <c r="Y913" s="1"/>
      <c r="Z913" s="1"/>
    </row>
    <row r="914" spans="1:26" ht="18.600000000000001" hidden="1" x14ac:dyDescent="0.25">
      <c r="A914" s="321" t="s">
        <v>381</v>
      </c>
      <c r="B914" s="321" t="s">
        <v>110</v>
      </c>
      <c r="C914" s="318" t="s">
        <v>57</v>
      </c>
      <c r="D914">
        <v>15075</v>
      </c>
      <c r="E914" s="143">
        <v>78000</v>
      </c>
      <c r="F914" s="117">
        <v>1403</v>
      </c>
      <c r="G914" s="321" t="s">
        <v>298</v>
      </c>
      <c r="H914" s="144">
        <f>bargiri[[#This Row],[میزان بارگیری شده]]*bargiri[[#This Row],[فی]]</f>
        <v>1175850000</v>
      </c>
      <c r="I914" s="321">
        <f>IF(year=bargiri[[#This Row],[سال]],1,0)</f>
        <v>0</v>
      </c>
      <c r="X914" s="1"/>
      <c r="Y914" s="1"/>
      <c r="Z914" s="1"/>
    </row>
    <row r="915" spans="1:26" ht="18.600000000000001" x14ac:dyDescent="0.25">
      <c r="A915" s="321" t="s">
        <v>381</v>
      </c>
      <c r="B915" s="321" t="s">
        <v>118</v>
      </c>
      <c r="C915" s="318" t="s">
        <v>84</v>
      </c>
      <c r="D915">
        <v>20775</v>
      </c>
      <c r="E915" s="143">
        <v>57273</v>
      </c>
      <c r="F915" s="117">
        <v>1403</v>
      </c>
      <c r="G915" s="321" t="s">
        <v>298</v>
      </c>
      <c r="H915" s="144">
        <f>bargiri[[#This Row],[میزان بارگیری شده]]*bargiri[[#This Row],[فی]]</f>
        <v>1189846575</v>
      </c>
      <c r="I915" s="321">
        <f>IF(year=bargiri[[#This Row],[سال]],1,0)</f>
        <v>0</v>
      </c>
      <c r="X915" s="1"/>
      <c r="Y915" s="1"/>
      <c r="Z915" s="1"/>
    </row>
    <row r="916" spans="1:26" ht="18.600000000000001" x14ac:dyDescent="0.25">
      <c r="A916" s="321" t="s">
        <v>381</v>
      </c>
      <c r="B916" s="321" t="s">
        <v>118</v>
      </c>
      <c r="C916" s="318" t="s">
        <v>84</v>
      </c>
      <c r="D916">
        <v>20970</v>
      </c>
      <c r="E916" s="143">
        <v>57273</v>
      </c>
      <c r="F916" s="117">
        <v>1403</v>
      </c>
      <c r="G916" s="321" t="s">
        <v>298</v>
      </c>
      <c r="H916" s="144">
        <f>bargiri[[#This Row],[میزان بارگیری شده]]*bargiri[[#This Row],[فی]]</f>
        <v>1201014810</v>
      </c>
      <c r="I916" s="321">
        <f>IF(year=bargiri[[#This Row],[سال]],1,0)</f>
        <v>0</v>
      </c>
      <c r="X916" s="1"/>
      <c r="Y916" s="1"/>
      <c r="Z916" s="1"/>
    </row>
    <row r="917" spans="1:26" ht="18.600000000000001" hidden="1" x14ac:dyDescent="0.25">
      <c r="A917" s="321" t="s">
        <v>382</v>
      </c>
      <c r="B917" s="321" t="s">
        <v>115</v>
      </c>
      <c r="C917" s="318" t="s">
        <v>65</v>
      </c>
      <c r="D917">
        <v>22200</v>
      </c>
      <c r="E917" s="143">
        <v>75000</v>
      </c>
      <c r="F917" s="117">
        <v>1403</v>
      </c>
      <c r="G917" s="321" t="s">
        <v>298</v>
      </c>
      <c r="H917" s="144">
        <f>bargiri[[#This Row],[میزان بارگیری شده]]*bargiri[[#This Row],[فی]]</f>
        <v>1665000000</v>
      </c>
      <c r="I917" s="321">
        <f>IF(year=bargiri[[#This Row],[سال]],1,0)</f>
        <v>0</v>
      </c>
      <c r="X917" s="1"/>
      <c r="Y917" s="1"/>
      <c r="Z917" s="1"/>
    </row>
    <row r="918" spans="1:26" ht="18.600000000000001" hidden="1" x14ac:dyDescent="0.25">
      <c r="A918" s="321" t="s">
        <v>382</v>
      </c>
      <c r="B918" s="321" t="s">
        <v>107</v>
      </c>
      <c r="C918" s="318" t="s">
        <v>50</v>
      </c>
      <c r="D918">
        <v>20005</v>
      </c>
      <c r="E918" s="143">
        <v>70000</v>
      </c>
      <c r="F918" s="117">
        <v>1403</v>
      </c>
      <c r="G918" s="321" t="s">
        <v>298</v>
      </c>
      <c r="H918" s="144">
        <f>bargiri[[#This Row],[میزان بارگیری شده]]*bargiri[[#This Row],[فی]]</f>
        <v>1400350000</v>
      </c>
      <c r="I918" s="321">
        <f>IF(year=bargiri[[#This Row],[سال]],1,0)</f>
        <v>0</v>
      </c>
      <c r="X918" s="1"/>
      <c r="Y918" s="1"/>
      <c r="Z918" s="1"/>
    </row>
    <row r="919" spans="1:26" ht="18.600000000000001" hidden="1" x14ac:dyDescent="0.25">
      <c r="A919" s="321" t="s">
        <v>219</v>
      </c>
      <c r="B919" s="321" t="s">
        <v>116</v>
      </c>
      <c r="C919" s="318" t="s">
        <v>75</v>
      </c>
      <c r="D919">
        <v>4980</v>
      </c>
      <c r="E919" s="143">
        <v>78999</v>
      </c>
      <c r="F919" s="117">
        <v>1403</v>
      </c>
      <c r="G919" s="321" t="s">
        <v>298</v>
      </c>
      <c r="H919" s="144">
        <f>bargiri[[#This Row],[میزان بارگیری شده]]*bargiri[[#This Row],[فی]]</f>
        <v>393415020</v>
      </c>
      <c r="I919" s="321">
        <f>IF(year=bargiri[[#This Row],[سال]],1,0)</f>
        <v>0</v>
      </c>
      <c r="X919" s="1"/>
      <c r="Y919" s="1"/>
      <c r="Z919" s="1"/>
    </row>
    <row r="920" spans="1:26" ht="18.600000000000001" hidden="1" x14ac:dyDescent="0.25">
      <c r="A920" s="321" t="s">
        <v>219</v>
      </c>
      <c r="B920" s="321" t="s">
        <v>116</v>
      </c>
      <c r="C920" s="318" t="s">
        <v>74</v>
      </c>
      <c r="D920">
        <v>13370</v>
      </c>
      <c r="E920" s="143">
        <v>75000</v>
      </c>
      <c r="F920" s="117">
        <v>1403</v>
      </c>
      <c r="G920" s="321" t="s">
        <v>298</v>
      </c>
      <c r="H920" s="144">
        <f>bargiri[[#This Row],[میزان بارگیری شده]]*bargiri[[#This Row],[فی]]</f>
        <v>1002750000</v>
      </c>
      <c r="I920" s="321">
        <f>IF(year=bargiri[[#This Row],[سال]],1,0)</f>
        <v>0</v>
      </c>
      <c r="X920" s="1"/>
      <c r="Y920" s="1"/>
      <c r="Z920" s="1"/>
    </row>
    <row r="921" spans="1:26" ht="18.600000000000001" hidden="1" x14ac:dyDescent="0.25">
      <c r="A921" s="321" t="s">
        <v>160</v>
      </c>
      <c r="B921" s="321" t="s">
        <v>113</v>
      </c>
      <c r="C921" s="318" t="s">
        <v>61</v>
      </c>
      <c r="D921">
        <v>20060</v>
      </c>
      <c r="E921" s="143">
        <v>75000</v>
      </c>
      <c r="F921" s="117">
        <v>1403</v>
      </c>
      <c r="G921" s="321" t="s">
        <v>298</v>
      </c>
      <c r="H921" s="144">
        <f>bargiri[[#This Row],[میزان بارگیری شده]]*bargiri[[#This Row],[فی]]</f>
        <v>1504500000</v>
      </c>
      <c r="I921" s="321">
        <f>IF(year=bargiri[[#This Row],[سال]],1,0)</f>
        <v>0</v>
      </c>
      <c r="X921" s="1"/>
      <c r="Y921" s="1"/>
      <c r="Z921" s="1"/>
    </row>
    <row r="922" spans="1:26" ht="18.600000000000001" hidden="1" x14ac:dyDescent="0.25">
      <c r="A922" s="321" t="s">
        <v>160</v>
      </c>
      <c r="B922" s="321" t="s">
        <v>102</v>
      </c>
      <c r="C922" s="318" t="s">
        <v>25</v>
      </c>
      <c r="D922">
        <v>11840</v>
      </c>
      <c r="E922" s="143">
        <v>65000</v>
      </c>
      <c r="F922" s="117">
        <v>1403</v>
      </c>
      <c r="G922" s="321" t="s">
        <v>298</v>
      </c>
      <c r="H922" s="144">
        <f>bargiri[[#This Row],[میزان بارگیری شده]]*bargiri[[#This Row],[فی]]</f>
        <v>769600000</v>
      </c>
      <c r="I922" s="321">
        <f>IF(year=bargiri[[#This Row],[سال]],1,0)</f>
        <v>0</v>
      </c>
      <c r="X922" s="1"/>
      <c r="Y922" s="1"/>
      <c r="Z922" s="1"/>
    </row>
    <row r="923" spans="1:26" ht="18.600000000000001" x14ac:dyDescent="0.25">
      <c r="A923" s="321" t="s">
        <v>160</v>
      </c>
      <c r="B923" s="321" t="s">
        <v>118</v>
      </c>
      <c r="C923" s="318" t="s">
        <v>84</v>
      </c>
      <c r="D923">
        <v>20585</v>
      </c>
      <c r="E923" s="143">
        <v>57273</v>
      </c>
      <c r="F923" s="117">
        <v>1403</v>
      </c>
      <c r="G923" s="321" t="s">
        <v>298</v>
      </c>
      <c r="H923" s="144">
        <f>bargiri[[#This Row],[میزان بارگیری شده]]*bargiri[[#This Row],[فی]]</f>
        <v>1178964705</v>
      </c>
      <c r="I923" s="321">
        <f>IF(year=bargiri[[#This Row],[سال]],1,0)</f>
        <v>0</v>
      </c>
      <c r="X923" s="1"/>
      <c r="Y923" s="1"/>
      <c r="Z923" s="1"/>
    </row>
    <row r="924" spans="1:26" ht="18.600000000000001" x14ac:dyDescent="0.25">
      <c r="A924" s="321" t="s">
        <v>160</v>
      </c>
      <c r="B924" s="321" t="s">
        <v>118</v>
      </c>
      <c r="C924" s="318" t="s">
        <v>84</v>
      </c>
      <c r="D924">
        <v>20605</v>
      </c>
      <c r="E924" s="143">
        <v>57273</v>
      </c>
      <c r="F924" s="117">
        <v>1403</v>
      </c>
      <c r="G924" s="321" t="s">
        <v>298</v>
      </c>
      <c r="H924" s="144">
        <f>bargiri[[#This Row],[میزان بارگیری شده]]*bargiri[[#This Row],[فی]]</f>
        <v>1180110165</v>
      </c>
      <c r="I924" s="321">
        <f>IF(year=bargiri[[#This Row],[سال]],1,0)</f>
        <v>0</v>
      </c>
      <c r="X924" s="1"/>
      <c r="Y924" s="1"/>
      <c r="Z924" s="1"/>
    </row>
    <row r="925" spans="1:26" ht="18.600000000000001" hidden="1" x14ac:dyDescent="0.25">
      <c r="A925" s="321" t="s">
        <v>160</v>
      </c>
      <c r="B925" s="321" t="s">
        <v>103</v>
      </c>
      <c r="C925" s="318" t="s">
        <v>30</v>
      </c>
      <c r="D925">
        <v>7535</v>
      </c>
      <c r="E925" s="143">
        <v>70000</v>
      </c>
      <c r="F925" s="117">
        <v>1403</v>
      </c>
      <c r="G925" s="321" t="s">
        <v>298</v>
      </c>
      <c r="H925" s="144">
        <f>bargiri[[#This Row],[میزان بارگیری شده]]*bargiri[[#This Row],[فی]]</f>
        <v>527450000</v>
      </c>
      <c r="I925" s="321">
        <f>IF(year=bargiri[[#This Row],[سال]],1,0)</f>
        <v>0</v>
      </c>
      <c r="X925" s="1"/>
      <c r="Y925" s="1"/>
      <c r="Z925" s="1"/>
    </row>
    <row r="926" spans="1:26" ht="18.600000000000001" hidden="1" x14ac:dyDescent="0.25">
      <c r="A926" s="321" t="s">
        <v>160</v>
      </c>
      <c r="B926" s="321" t="s">
        <v>120</v>
      </c>
      <c r="C926" s="318" t="s">
        <v>88</v>
      </c>
      <c r="D926">
        <v>8410</v>
      </c>
      <c r="E926" s="143">
        <v>80000</v>
      </c>
      <c r="F926" s="117">
        <v>1403</v>
      </c>
      <c r="G926" s="321" t="s">
        <v>298</v>
      </c>
      <c r="H926" s="144">
        <f>bargiri[[#This Row],[میزان بارگیری شده]]*bargiri[[#This Row],[فی]]</f>
        <v>672800000</v>
      </c>
      <c r="I926" s="321">
        <f>IF(year=bargiri[[#This Row],[سال]],1,0)</f>
        <v>0</v>
      </c>
      <c r="X926" s="1"/>
      <c r="Y926" s="1"/>
      <c r="Z926" s="1"/>
    </row>
    <row r="927" spans="1:26" ht="18.600000000000001" hidden="1" x14ac:dyDescent="0.25">
      <c r="A927" s="321" t="s">
        <v>383</v>
      </c>
      <c r="B927" s="321" t="s">
        <v>113</v>
      </c>
      <c r="C927" s="318" t="s">
        <v>61</v>
      </c>
      <c r="D927">
        <v>21145</v>
      </c>
      <c r="E927" s="143">
        <v>75000</v>
      </c>
      <c r="F927" s="117">
        <v>1403</v>
      </c>
      <c r="G927" s="321" t="s">
        <v>298</v>
      </c>
      <c r="H927" s="144">
        <f>bargiri[[#This Row],[میزان بارگیری شده]]*bargiri[[#This Row],[فی]]</f>
        <v>1585875000</v>
      </c>
      <c r="I927" s="321">
        <f>IF(year=bargiri[[#This Row],[سال]],1,0)</f>
        <v>0</v>
      </c>
      <c r="X927" s="1"/>
      <c r="Y927" s="1"/>
      <c r="Z927" s="1"/>
    </row>
    <row r="928" spans="1:26" ht="18.600000000000001" hidden="1" x14ac:dyDescent="0.25">
      <c r="A928" s="321" t="s">
        <v>383</v>
      </c>
      <c r="B928" s="321" t="s">
        <v>120</v>
      </c>
      <c r="C928" s="318" t="s">
        <v>88</v>
      </c>
      <c r="D928">
        <v>9145</v>
      </c>
      <c r="E928" s="143">
        <v>80000</v>
      </c>
      <c r="F928" s="117">
        <v>1403</v>
      </c>
      <c r="G928" s="321" t="s">
        <v>298</v>
      </c>
      <c r="H928" s="144">
        <f>bargiri[[#This Row],[میزان بارگیری شده]]*bargiri[[#This Row],[فی]]</f>
        <v>731600000</v>
      </c>
      <c r="I928" s="321">
        <f>IF(year=bargiri[[#This Row],[سال]],1,0)</f>
        <v>0</v>
      </c>
      <c r="X928" s="1"/>
      <c r="Y928" s="1"/>
      <c r="Z928" s="1"/>
    </row>
    <row r="929" spans="1:26" ht="18.600000000000001" hidden="1" x14ac:dyDescent="0.25">
      <c r="A929" s="321" t="s">
        <v>383</v>
      </c>
      <c r="B929" s="321" t="s">
        <v>113</v>
      </c>
      <c r="C929" s="318" t="s">
        <v>61</v>
      </c>
      <c r="D929">
        <v>21440</v>
      </c>
      <c r="E929" s="143">
        <v>75000</v>
      </c>
      <c r="F929" s="117">
        <v>1403</v>
      </c>
      <c r="G929" s="321" t="s">
        <v>298</v>
      </c>
      <c r="H929" s="144">
        <f>bargiri[[#This Row],[میزان بارگیری شده]]*bargiri[[#This Row],[فی]]</f>
        <v>1608000000</v>
      </c>
      <c r="I929" s="321">
        <f>IF(year=bargiri[[#This Row],[سال]],1,0)</f>
        <v>0</v>
      </c>
      <c r="X929" s="1"/>
      <c r="Y929" s="1"/>
      <c r="Z929" s="1"/>
    </row>
    <row r="930" spans="1:26" ht="18.600000000000001" hidden="1" x14ac:dyDescent="0.25">
      <c r="A930" s="321" t="s">
        <v>383</v>
      </c>
      <c r="B930" s="321" t="s">
        <v>107</v>
      </c>
      <c r="C930" s="318" t="s">
        <v>50</v>
      </c>
      <c r="D930">
        <v>20000</v>
      </c>
      <c r="E930" s="143">
        <v>70000</v>
      </c>
      <c r="F930" s="117">
        <v>1403</v>
      </c>
      <c r="G930" s="321" t="s">
        <v>298</v>
      </c>
      <c r="H930" s="144">
        <f>bargiri[[#This Row],[میزان بارگیری شده]]*bargiri[[#This Row],[فی]]</f>
        <v>1400000000</v>
      </c>
      <c r="I930" s="321">
        <f>IF(year=bargiri[[#This Row],[سال]],1,0)</f>
        <v>0</v>
      </c>
      <c r="X930" s="1"/>
      <c r="Y930" s="1"/>
      <c r="Z930" s="1"/>
    </row>
    <row r="931" spans="1:26" ht="18.600000000000001" x14ac:dyDescent="0.25">
      <c r="A931" s="321" t="s">
        <v>219</v>
      </c>
      <c r="B931" s="321" t="s">
        <v>118</v>
      </c>
      <c r="C931" s="318" t="s">
        <v>84</v>
      </c>
      <c r="D931">
        <v>20900</v>
      </c>
      <c r="E931" s="143">
        <v>57273</v>
      </c>
      <c r="F931" s="117">
        <v>1403</v>
      </c>
      <c r="G931" s="321" t="s">
        <v>298</v>
      </c>
      <c r="H931" s="144">
        <f>bargiri[[#This Row],[میزان بارگیری شده]]*bargiri[[#This Row],[فی]]</f>
        <v>1197005700</v>
      </c>
      <c r="I931" s="321">
        <f>IF(year=bargiri[[#This Row],[سال]],1,0)</f>
        <v>0</v>
      </c>
      <c r="X931" s="1"/>
      <c r="Y931" s="1"/>
      <c r="Z931" s="1"/>
    </row>
    <row r="932" spans="1:26" ht="18.600000000000001" x14ac:dyDescent="0.25">
      <c r="A932" s="321" t="s">
        <v>219</v>
      </c>
      <c r="B932" s="321" t="s">
        <v>118</v>
      </c>
      <c r="C932" s="318" t="s">
        <v>84</v>
      </c>
      <c r="D932">
        <v>21055</v>
      </c>
      <c r="E932" s="143">
        <v>57273</v>
      </c>
      <c r="F932" s="117">
        <v>1403</v>
      </c>
      <c r="G932" s="321" t="s">
        <v>298</v>
      </c>
      <c r="H932" s="144">
        <f>bargiri[[#This Row],[میزان بارگیری شده]]*bargiri[[#This Row],[فی]]</f>
        <v>1205883015</v>
      </c>
      <c r="I932" s="321">
        <f>IF(year=bargiri[[#This Row],[سال]],1,0)</f>
        <v>0</v>
      </c>
      <c r="X932" s="1"/>
      <c r="Y932" s="1"/>
      <c r="Z932" s="1"/>
    </row>
    <row r="933" spans="1:26" ht="18.600000000000001" hidden="1" x14ac:dyDescent="0.25">
      <c r="A933" s="321" t="s">
        <v>230</v>
      </c>
      <c r="B933" s="321" t="s">
        <v>101</v>
      </c>
      <c r="C933" s="318" t="s">
        <v>20</v>
      </c>
      <c r="D933">
        <v>10720</v>
      </c>
      <c r="E933" s="143">
        <v>68000</v>
      </c>
      <c r="F933" s="117">
        <v>1403</v>
      </c>
      <c r="G933" s="321" t="s">
        <v>298</v>
      </c>
      <c r="H933" s="144">
        <f>bargiri[[#This Row],[میزان بارگیری شده]]*bargiri[[#This Row],[فی]]</f>
        <v>728960000</v>
      </c>
      <c r="I933" s="321">
        <f>IF(year=bargiri[[#This Row],[سال]],1,0)</f>
        <v>0</v>
      </c>
      <c r="X933" s="1"/>
      <c r="Y933" s="1"/>
      <c r="Z933" s="1"/>
    </row>
    <row r="934" spans="1:26" ht="18.600000000000001" hidden="1" x14ac:dyDescent="0.25">
      <c r="A934" s="321" t="s">
        <v>230</v>
      </c>
      <c r="B934" s="321" t="s">
        <v>101</v>
      </c>
      <c r="C934" s="318" t="s">
        <v>18</v>
      </c>
      <c r="D934">
        <v>9335</v>
      </c>
      <c r="E934" s="143">
        <v>92000</v>
      </c>
      <c r="F934" s="117">
        <v>1403</v>
      </c>
      <c r="G934" s="321" t="s">
        <v>298</v>
      </c>
      <c r="H934" s="144">
        <f>bargiri[[#This Row],[میزان بارگیری شده]]*bargiri[[#This Row],[فی]]</f>
        <v>858820000</v>
      </c>
      <c r="I934" s="321">
        <f>IF(year=bargiri[[#This Row],[سال]],1,0)</f>
        <v>0</v>
      </c>
      <c r="X934" s="1"/>
      <c r="Y934" s="1"/>
      <c r="Z934" s="1"/>
    </row>
    <row r="935" spans="1:26" ht="18.600000000000001" hidden="1" x14ac:dyDescent="0.25">
      <c r="A935" s="321" t="s">
        <v>230</v>
      </c>
      <c r="B935" s="321" t="s">
        <v>103</v>
      </c>
      <c r="C935" s="318" t="s">
        <v>30</v>
      </c>
      <c r="D935">
        <v>7050</v>
      </c>
      <c r="E935" s="143">
        <v>70000</v>
      </c>
      <c r="F935" s="117">
        <v>1403</v>
      </c>
      <c r="G935" s="321" t="s">
        <v>298</v>
      </c>
      <c r="H935" s="144">
        <f>bargiri[[#This Row],[میزان بارگیری شده]]*bargiri[[#This Row],[فی]]</f>
        <v>493500000</v>
      </c>
      <c r="I935" s="321">
        <f>IF(year=bargiri[[#This Row],[سال]],1,0)</f>
        <v>0</v>
      </c>
      <c r="X935" s="1"/>
      <c r="Y935" s="1"/>
      <c r="Z935" s="1"/>
    </row>
    <row r="936" spans="1:26" ht="18.600000000000001" hidden="1" x14ac:dyDescent="0.25">
      <c r="A936" s="321" t="s">
        <v>230</v>
      </c>
      <c r="B936" s="321" t="s">
        <v>108</v>
      </c>
      <c r="C936" s="318" t="s">
        <v>53</v>
      </c>
      <c r="D936">
        <v>20000</v>
      </c>
      <c r="E936" s="143">
        <v>70000</v>
      </c>
      <c r="F936" s="117">
        <v>1403</v>
      </c>
      <c r="G936" s="321" t="s">
        <v>298</v>
      </c>
      <c r="H936" s="144">
        <f>bargiri[[#This Row],[میزان بارگیری شده]]*bargiri[[#This Row],[فی]]</f>
        <v>1400000000</v>
      </c>
      <c r="I936" s="321">
        <f>IF(year=bargiri[[#This Row],[سال]],1,0)</f>
        <v>0</v>
      </c>
      <c r="X936" s="1"/>
      <c r="Y936" s="1"/>
      <c r="Z936" s="1"/>
    </row>
    <row r="937" spans="1:26" ht="18.600000000000001" hidden="1" x14ac:dyDescent="0.25">
      <c r="A937" s="321" t="s">
        <v>230</v>
      </c>
      <c r="B937" s="321" t="s">
        <v>122</v>
      </c>
      <c r="C937" s="318" t="s">
        <v>91</v>
      </c>
      <c r="D937">
        <v>20205</v>
      </c>
      <c r="E937" s="143">
        <v>75000</v>
      </c>
      <c r="F937" s="117">
        <v>1403</v>
      </c>
      <c r="G937" s="321" t="s">
        <v>298</v>
      </c>
      <c r="H937" s="144">
        <f>bargiri[[#This Row],[میزان بارگیری شده]]*bargiri[[#This Row],[فی]]</f>
        <v>1515375000</v>
      </c>
      <c r="I937" s="321">
        <f>IF(year=bargiri[[#This Row],[سال]],1,0)</f>
        <v>0</v>
      </c>
      <c r="X937" s="1"/>
      <c r="Y937" s="1"/>
      <c r="Z937" s="1"/>
    </row>
    <row r="938" spans="1:26" ht="18.600000000000001" hidden="1" x14ac:dyDescent="0.25">
      <c r="A938" s="321" t="s">
        <v>230</v>
      </c>
      <c r="B938" s="321" t="s">
        <v>103</v>
      </c>
      <c r="C938" s="318" t="s">
        <v>30</v>
      </c>
      <c r="D938">
        <v>7580</v>
      </c>
      <c r="E938" s="143">
        <v>70000</v>
      </c>
      <c r="F938" s="117">
        <v>1403</v>
      </c>
      <c r="G938" s="321" t="s">
        <v>298</v>
      </c>
      <c r="H938" s="144">
        <f>bargiri[[#This Row],[میزان بارگیری شده]]*bargiri[[#This Row],[فی]]</f>
        <v>530600000</v>
      </c>
      <c r="I938" s="321">
        <f>IF(year=bargiri[[#This Row],[سال]],1,0)</f>
        <v>0</v>
      </c>
      <c r="X938" s="1"/>
      <c r="Y938" s="1"/>
      <c r="Z938" s="1"/>
    </row>
    <row r="939" spans="1:26" ht="18.600000000000001" hidden="1" x14ac:dyDescent="0.25">
      <c r="A939" s="321" t="s">
        <v>224</v>
      </c>
      <c r="B939" s="321" t="s">
        <v>117</v>
      </c>
      <c r="C939" s="318" t="s">
        <v>80</v>
      </c>
      <c r="D939">
        <v>20290</v>
      </c>
      <c r="E939" s="143">
        <v>73000</v>
      </c>
      <c r="F939" s="117">
        <v>1403</v>
      </c>
      <c r="G939" s="321" t="s">
        <v>298</v>
      </c>
      <c r="H939" s="144">
        <f>bargiri[[#This Row],[میزان بارگیری شده]]*bargiri[[#This Row],[فی]]</f>
        <v>1481170000</v>
      </c>
      <c r="I939" s="321">
        <f>IF(year=bargiri[[#This Row],[سال]],1,0)</f>
        <v>0</v>
      </c>
      <c r="X939" s="1"/>
      <c r="Y939" s="1"/>
      <c r="Z939" s="1"/>
    </row>
    <row r="940" spans="1:26" ht="18.600000000000001" hidden="1" x14ac:dyDescent="0.25">
      <c r="A940" s="321" t="s">
        <v>224</v>
      </c>
      <c r="B940" s="321" t="s">
        <v>107</v>
      </c>
      <c r="C940" s="318" t="s">
        <v>50</v>
      </c>
      <c r="D940">
        <v>19025</v>
      </c>
      <c r="E940" s="143">
        <v>70000</v>
      </c>
      <c r="F940" s="117">
        <v>1403</v>
      </c>
      <c r="G940" s="321" t="s">
        <v>298</v>
      </c>
      <c r="H940" s="144">
        <f>bargiri[[#This Row],[میزان بارگیری شده]]*bargiri[[#This Row],[فی]]</f>
        <v>1331750000</v>
      </c>
      <c r="I940" s="321">
        <f>IF(year=bargiri[[#This Row],[سال]],1,0)</f>
        <v>0</v>
      </c>
      <c r="X940" s="1"/>
      <c r="Y940" s="1"/>
      <c r="Z940" s="1"/>
    </row>
    <row r="941" spans="1:26" ht="18.600000000000001" hidden="1" x14ac:dyDescent="0.25">
      <c r="A941" s="321" t="s">
        <v>384</v>
      </c>
      <c r="B941" s="321" t="s">
        <v>113</v>
      </c>
      <c r="C941" s="318" t="s">
        <v>61</v>
      </c>
      <c r="D941">
        <v>18875</v>
      </c>
      <c r="E941" s="143">
        <v>75000</v>
      </c>
      <c r="F941" s="117">
        <v>1403</v>
      </c>
      <c r="G941" s="321" t="s">
        <v>298</v>
      </c>
      <c r="H941" s="144">
        <f>bargiri[[#This Row],[میزان بارگیری شده]]*bargiri[[#This Row],[فی]]</f>
        <v>1415625000</v>
      </c>
      <c r="I941" s="321">
        <f>IF(year=bargiri[[#This Row],[سال]],1,0)</f>
        <v>0</v>
      </c>
      <c r="X941" s="1"/>
      <c r="Y941" s="1"/>
      <c r="Z941" s="1"/>
    </row>
    <row r="942" spans="1:26" ht="18.600000000000001" hidden="1" x14ac:dyDescent="0.25">
      <c r="A942" s="321" t="s">
        <v>384</v>
      </c>
      <c r="B942" s="321" t="s">
        <v>123</v>
      </c>
      <c r="C942" s="318" t="s">
        <v>93</v>
      </c>
      <c r="D942">
        <v>7585</v>
      </c>
      <c r="E942" s="143">
        <v>75000</v>
      </c>
      <c r="F942" s="117">
        <v>1403</v>
      </c>
      <c r="G942" s="321" t="s">
        <v>298</v>
      </c>
      <c r="H942" s="144">
        <f>bargiri[[#This Row],[میزان بارگیری شده]]*bargiri[[#This Row],[فی]]</f>
        <v>568875000</v>
      </c>
      <c r="I942" s="321">
        <f>IF(year=bargiri[[#This Row],[سال]],1,0)</f>
        <v>0</v>
      </c>
      <c r="X942" s="1"/>
      <c r="Y942" s="1"/>
      <c r="Z942" s="1"/>
    </row>
    <row r="943" spans="1:26" ht="18.600000000000001" hidden="1" x14ac:dyDescent="0.25">
      <c r="A943" s="321" t="s">
        <v>384</v>
      </c>
      <c r="B943" s="321" t="s">
        <v>102</v>
      </c>
      <c r="C943" s="318" t="s">
        <v>25</v>
      </c>
      <c r="D943">
        <v>11085</v>
      </c>
      <c r="E943" s="143">
        <v>65000</v>
      </c>
      <c r="F943" s="117">
        <v>1403</v>
      </c>
      <c r="G943" s="321" t="s">
        <v>298</v>
      </c>
      <c r="H943" s="144">
        <f>bargiri[[#This Row],[میزان بارگیری شده]]*bargiri[[#This Row],[فی]]</f>
        <v>720525000</v>
      </c>
      <c r="I943" s="321">
        <f>IF(year=bargiri[[#This Row],[سال]],1,0)</f>
        <v>0</v>
      </c>
      <c r="X943" s="1"/>
      <c r="Y943" s="1"/>
      <c r="Z943" s="1"/>
    </row>
    <row r="944" spans="1:26" ht="18.600000000000001" hidden="1" x14ac:dyDescent="0.25">
      <c r="A944" s="321" t="s">
        <v>384</v>
      </c>
      <c r="B944" s="321" t="s">
        <v>111</v>
      </c>
      <c r="C944" s="318" t="s">
        <v>59</v>
      </c>
      <c r="D944">
        <v>10085</v>
      </c>
      <c r="E944" s="143">
        <v>80000</v>
      </c>
      <c r="F944" s="117">
        <v>1403</v>
      </c>
      <c r="G944" s="321" t="s">
        <v>298</v>
      </c>
      <c r="H944" s="144">
        <f>bargiri[[#This Row],[میزان بارگیری شده]]*bargiri[[#This Row],[فی]]</f>
        <v>806800000</v>
      </c>
      <c r="I944" s="321">
        <f>IF(year=bargiri[[#This Row],[سال]],1,0)</f>
        <v>0</v>
      </c>
      <c r="X944" s="1"/>
      <c r="Y944" s="1"/>
      <c r="Z944" s="1"/>
    </row>
    <row r="945" spans="1:26" ht="18.600000000000001" x14ac:dyDescent="0.25">
      <c r="A945" s="321" t="s">
        <v>384</v>
      </c>
      <c r="B945" s="321" t="s">
        <v>118</v>
      </c>
      <c r="C945" s="318" t="s">
        <v>84</v>
      </c>
      <c r="D945">
        <v>20620</v>
      </c>
      <c r="E945" s="143">
        <v>57273</v>
      </c>
      <c r="F945" s="117">
        <v>1403</v>
      </c>
      <c r="G945" s="321" t="s">
        <v>298</v>
      </c>
      <c r="H945" s="144">
        <f>bargiri[[#This Row],[میزان بارگیری شده]]*bargiri[[#This Row],[فی]]</f>
        <v>1180969260</v>
      </c>
      <c r="I945" s="321">
        <f>IF(year=bargiri[[#This Row],[سال]],1,0)</f>
        <v>0</v>
      </c>
      <c r="X945" s="1"/>
      <c r="Y945" s="1"/>
      <c r="Z945" s="1"/>
    </row>
    <row r="946" spans="1:26" ht="18.600000000000001" x14ac:dyDescent="0.25">
      <c r="A946" s="321" t="s">
        <v>384</v>
      </c>
      <c r="B946" s="321" t="s">
        <v>118</v>
      </c>
      <c r="C946" s="318" t="s">
        <v>84</v>
      </c>
      <c r="D946">
        <v>20560</v>
      </c>
      <c r="E946" s="143">
        <v>57273</v>
      </c>
      <c r="F946" s="117">
        <v>1403</v>
      </c>
      <c r="G946" s="321" t="s">
        <v>298</v>
      </c>
      <c r="H946" s="144">
        <f>bargiri[[#This Row],[میزان بارگیری شده]]*bargiri[[#This Row],[فی]]</f>
        <v>1177532880</v>
      </c>
      <c r="I946" s="321">
        <f>IF(year=bargiri[[#This Row],[سال]],1,0)</f>
        <v>0</v>
      </c>
      <c r="X946" s="1"/>
      <c r="Y946" s="1"/>
      <c r="Z946" s="1"/>
    </row>
    <row r="947" spans="1:26" ht="18.600000000000001" hidden="1" x14ac:dyDescent="0.25">
      <c r="A947" s="321" t="s">
        <v>155</v>
      </c>
      <c r="B947" s="321" t="s">
        <v>115</v>
      </c>
      <c r="C947" s="318" t="s">
        <v>65</v>
      </c>
      <c r="D947">
        <v>20075</v>
      </c>
      <c r="E947" s="143">
        <v>75000</v>
      </c>
      <c r="F947" s="117">
        <v>1403</v>
      </c>
      <c r="G947" s="321" t="s">
        <v>298</v>
      </c>
      <c r="H947" s="144">
        <f>bargiri[[#This Row],[میزان بارگیری شده]]*bargiri[[#This Row],[فی]]</f>
        <v>1505625000</v>
      </c>
      <c r="I947" s="321">
        <f>IF(year=bargiri[[#This Row],[سال]],1,0)</f>
        <v>0</v>
      </c>
      <c r="X947" s="1"/>
      <c r="Y947" s="1"/>
      <c r="Z947" s="1"/>
    </row>
    <row r="948" spans="1:26" ht="18.600000000000001" hidden="1" x14ac:dyDescent="0.25">
      <c r="A948" s="321" t="s">
        <v>155</v>
      </c>
      <c r="B948" s="321" t="s">
        <v>107</v>
      </c>
      <c r="C948" s="318" t="s">
        <v>50</v>
      </c>
      <c r="D948">
        <v>19170</v>
      </c>
      <c r="E948" s="143">
        <v>70000</v>
      </c>
      <c r="F948" s="117">
        <v>1403</v>
      </c>
      <c r="G948" s="321" t="s">
        <v>298</v>
      </c>
      <c r="H948" s="144">
        <f>bargiri[[#This Row],[میزان بارگیری شده]]*bargiri[[#This Row],[فی]]</f>
        <v>1341900000</v>
      </c>
      <c r="I948" s="321">
        <f>IF(year=bargiri[[#This Row],[سال]],1,0)</f>
        <v>0</v>
      </c>
      <c r="X948" s="1"/>
      <c r="Y948" s="1"/>
      <c r="Z948" s="1"/>
    </row>
    <row r="949" spans="1:26" ht="18.600000000000001" hidden="1" x14ac:dyDescent="0.25">
      <c r="A949" s="321" t="s">
        <v>155</v>
      </c>
      <c r="B949" s="321" t="s">
        <v>106</v>
      </c>
      <c r="C949" s="318" t="s">
        <v>48</v>
      </c>
      <c r="D949">
        <v>18025</v>
      </c>
      <c r="E949" s="143">
        <v>65000</v>
      </c>
      <c r="F949" s="117">
        <v>1403</v>
      </c>
      <c r="G949" s="321" t="s">
        <v>298</v>
      </c>
      <c r="H949" s="144">
        <f>bargiri[[#This Row],[میزان بارگیری شده]]*bargiri[[#This Row],[فی]]</f>
        <v>1171625000</v>
      </c>
      <c r="I949" s="321">
        <f>IF(year=bargiri[[#This Row],[سال]],1,0)</f>
        <v>0</v>
      </c>
      <c r="X949" s="1"/>
      <c r="Y949" s="1"/>
      <c r="Z949" s="1"/>
    </row>
    <row r="950" spans="1:26" ht="18.600000000000001" hidden="1" x14ac:dyDescent="0.25">
      <c r="A950" s="321" t="s">
        <v>220</v>
      </c>
      <c r="B950" s="321" t="s">
        <v>123</v>
      </c>
      <c r="C950" s="318" t="s">
        <v>93</v>
      </c>
      <c r="D950">
        <v>7705</v>
      </c>
      <c r="E950" s="143">
        <v>75000</v>
      </c>
      <c r="F950" s="117">
        <v>1403</v>
      </c>
      <c r="G950" s="321" t="s">
        <v>298</v>
      </c>
      <c r="H950" s="144">
        <f>bargiri[[#This Row],[میزان بارگیری شده]]*bargiri[[#This Row],[فی]]</f>
        <v>577875000</v>
      </c>
      <c r="I950" s="321">
        <f>IF(year=bargiri[[#This Row],[سال]],1,0)</f>
        <v>0</v>
      </c>
      <c r="X950" s="1"/>
      <c r="Y950" s="1"/>
      <c r="Z950" s="1"/>
    </row>
    <row r="951" spans="1:26" ht="18.600000000000001" hidden="1" x14ac:dyDescent="0.25">
      <c r="A951" s="321" t="s">
        <v>220</v>
      </c>
      <c r="B951" s="321" t="s">
        <v>116</v>
      </c>
      <c r="C951" s="318" t="s">
        <v>75</v>
      </c>
      <c r="D951">
        <v>20020</v>
      </c>
      <c r="E951" s="143">
        <v>78999</v>
      </c>
      <c r="F951" s="117">
        <v>1403</v>
      </c>
      <c r="G951" s="321" t="s">
        <v>298</v>
      </c>
      <c r="H951" s="144">
        <f>bargiri[[#This Row],[میزان بارگیری شده]]*bargiri[[#This Row],[فی]]</f>
        <v>1581559980</v>
      </c>
      <c r="I951" s="321">
        <f>IF(year=bargiri[[#This Row],[سال]],1,0)</f>
        <v>0</v>
      </c>
      <c r="X951" s="1"/>
      <c r="Y951" s="1"/>
      <c r="Z951" s="1"/>
    </row>
    <row r="952" spans="1:26" ht="18.600000000000001" x14ac:dyDescent="0.25">
      <c r="A952" s="321" t="s">
        <v>220</v>
      </c>
      <c r="B952" s="321" t="s">
        <v>118</v>
      </c>
      <c r="C952" s="318" t="s">
        <v>84</v>
      </c>
      <c r="D952">
        <v>20595</v>
      </c>
      <c r="E952" s="143">
        <v>57273</v>
      </c>
      <c r="F952" s="117">
        <v>1403</v>
      </c>
      <c r="G952" s="321" t="s">
        <v>298</v>
      </c>
      <c r="H952" s="144">
        <f>bargiri[[#This Row],[میزان بارگیری شده]]*bargiri[[#This Row],[فی]]</f>
        <v>1179537435</v>
      </c>
      <c r="I952" s="321">
        <f>IF(year=bargiri[[#This Row],[سال]],1,0)</f>
        <v>0</v>
      </c>
      <c r="X952" s="1"/>
      <c r="Y952" s="1"/>
      <c r="Z952" s="1"/>
    </row>
    <row r="953" spans="1:26" ht="18.600000000000001" x14ac:dyDescent="0.25">
      <c r="A953" s="321" t="s">
        <v>220</v>
      </c>
      <c r="B953" s="321" t="s">
        <v>118</v>
      </c>
      <c r="C953" s="318" t="s">
        <v>84</v>
      </c>
      <c r="D953">
        <v>20685</v>
      </c>
      <c r="E953" s="143">
        <v>57273</v>
      </c>
      <c r="F953" s="117">
        <v>1403</v>
      </c>
      <c r="G953" s="321" t="s">
        <v>298</v>
      </c>
      <c r="H953" s="144">
        <f>bargiri[[#This Row],[میزان بارگیری شده]]*bargiri[[#This Row],[فی]]</f>
        <v>1184692005</v>
      </c>
      <c r="I953" s="321">
        <f>IF(year=bargiri[[#This Row],[سال]],1,0)</f>
        <v>0</v>
      </c>
      <c r="X953" s="1"/>
      <c r="Y953" s="1"/>
      <c r="Z953" s="1"/>
    </row>
    <row r="954" spans="1:26" ht="18.600000000000001" hidden="1" x14ac:dyDescent="0.25">
      <c r="A954" s="321" t="s">
        <v>220</v>
      </c>
      <c r="B954" s="321" t="s">
        <v>106</v>
      </c>
      <c r="C954" s="318" t="s">
        <v>48</v>
      </c>
      <c r="D954">
        <v>20170</v>
      </c>
      <c r="E954" s="143">
        <v>65000</v>
      </c>
      <c r="F954" s="117">
        <v>1403</v>
      </c>
      <c r="G954" s="321" t="s">
        <v>298</v>
      </c>
      <c r="H954" s="144">
        <f>bargiri[[#This Row],[میزان بارگیری شده]]*bargiri[[#This Row],[فی]]</f>
        <v>1311050000</v>
      </c>
      <c r="I954" s="321">
        <f>IF(year=bargiri[[#This Row],[سال]],1,0)</f>
        <v>0</v>
      </c>
      <c r="X954" s="1"/>
      <c r="Y954" s="1"/>
      <c r="Z954" s="1"/>
    </row>
    <row r="955" spans="1:26" ht="18.600000000000001" hidden="1" x14ac:dyDescent="0.25">
      <c r="A955" s="321" t="s">
        <v>220</v>
      </c>
      <c r="B955" s="321" t="s">
        <v>120</v>
      </c>
      <c r="C955" s="318" t="s">
        <v>88</v>
      </c>
      <c r="D955">
        <v>9075</v>
      </c>
      <c r="E955" s="143">
        <v>80000</v>
      </c>
      <c r="F955" s="117">
        <v>1403</v>
      </c>
      <c r="G955" s="321" t="s">
        <v>298</v>
      </c>
      <c r="H955" s="144">
        <f>bargiri[[#This Row],[میزان بارگیری شده]]*bargiri[[#This Row],[فی]]</f>
        <v>726000000</v>
      </c>
      <c r="I955" s="321">
        <f>IF(year=bargiri[[#This Row],[سال]],1,0)</f>
        <v>0</v>
      </c>
      <c r="X955" s="1"/>
      <c r="Y955" s="1"/>
      <c r="Z955" s="1"/>
    </row>
    <row r="956" spans="1:26" ht="18.600000000000001" hidden="1" x14ac:dyDescent="0.25">
      <c r="A956" s="321" t="s">
        <v>385</v>
      </c>
      <c r="B956" s="321" t="s">
        <v>106</v>
      </c>
      <c r="C956" s="318" t="s">
        <v>47</v>
      </c>
      <c r="D956">
        <v>5410</v>
      </c>
      <c r="E956" s="143">
        <v>50000</v>
      </c>
      <c r="F956" s="117">
        <v>1403</v>
      </c>
      <c r="G956" s="321" t="s">
        <v>304</v>
      </c>
      <c r="H956" s="144">
        <f>bargiri[[#This Row],[میزان بارگیری شده]]*bargiri[[#This Row],[فی]]</f>
        <v>270500000</v>
      </c>
      <c r="I956" s="321">
        <f>IF(year=bargiri[[#This Row],[سال]],1,0)</f>
        <v>0</v>
      </c>
      <c r="X956" s="1"/>
      <c r="Y956" s="1"/>
      <c r="Z956" s="1"/>
    </row>
    <row r="957" spans="1:26" ht="18.600000000000001" hidden="1" x14ac:dyDescent="0.25">
      <c r="A957" s="321" t="s">
        <v>182</v>
      </c>
      <c r="B957" s="321" t="s">
        <v>103</v>
      </c>
      <c r="C957" s="318" t="s">
        <v>30</v>
      </c>
      <c r="D957">
        <v>7425</v>
      </c>
      <c r="E957" s="143">
        <v>70000</v>
      </c>
      <c r="F957" s="117">
        <v>1403</v>
      </c>
      <c r="G957" s="321" t="s">
        <v>298</v>
      </c>
      <c r="H957" s="144">
        <f>bargiri[[#This Row],[میزان بارگیری شده]]*bargiri[[#This Row],[فی]]</f>
        <v>519750000</v>
      </c>
      <c r="I957" s="321">
        <f>IF(year=bargiri[[#This Row],[سال]],1,0)</f>
        <v>0</v>
      </c>
      <c r="X957" s="1"/>
      <c r="Y957" s="1"/>
      <c r="Z957" s="1"/>
    </row>
    <row r="958" spans="1:26" ht="18.600000000000001" x14ac:dyDescent="0.25">
      <c r="A958" s="321" t="s">
        <v>182</v>
      </c>
      <c r="B958" s="321" t="s">
        <v>118</v>
      </c>
      <c r="C958" s="318" t="s">
        <v>84</v>
      </c>
      <c r="D958">
        <v>20635</v>
      </c>
      <c r="E958" s="143">
        <v>57273</v>
      </c>
      <c r="F958" s="117">
        <v>1403</v>
      </c>
      <c r="G958" s="321" t="s">
        <v>298</v>
      </c>
      <c r="H958" s="144">
        <f>bargiri[[#This Row],[میزان بارگیری شده]]*bargiri[[#This Row],[فی]]</f>
        <v>1181828355</v>
      </c>
      <c r="I958" s="321">
        <f>IF(year=bargiri[[#This Row],[سال]],1,0)</f>
        <v>0</v>
      </c>
      <c r="X958" s="1"/>
      <c r="Y958" s="1"/>
      <c r="Z958" s="1"/>
    </row>
    <row r="959" spans="1:26" ht="18.600000000000001" x14ac:dyDescent="0.25">
      <c r="A959" s="321" t="s">
        <v>182</v>
      </c>
      <c r="B959" s="321" t="s">
        <v>118</v>
      </c>
      <c r="C959" s="318" t="s">
        <v>84</v>
      </c>
      <c r="D959">
        <v>20525</v>
      </c>
      <c r="E959" s="143">
        <v>57273</v>
      </c>
      <c r="F959" s="117">
        <v>1403</v>
      </c>
      <c r="G959" s="321" t="s">
        <v>298</v>
      </c>
      <c r="H959" s="144">
        <f>bargiri[[#This Row],[میزان بارگیری شده]]*bargiri[[#This Row],[فی]]</f>
        <v>1175528325</v>
      </c>
      <c r="I959" s="321">
        <f>IF(year=bargiri[[#This Row],[سال]],1,0)</f>
        <v>0</v>
      </c>
      <c r="X959" s="1"/>
      <c r="Y959" s="1"/>
      <c r="Z959" s="1"/>
    </row>
    <row r="960" spans="1:26" ht="18.600000000000001" hidden="1" x14ac:dyDescent="0.25">
      <c r="A960" s="321" t="s">
        <v>182</v>
      </c>
      <c r="B960" s="321" t="s">
        <v>110</v>
      </c>
      <c r="C960" s="318" t="s">
        <v>57</v>
      </c>
      <c r="D960">
        <v>19040</v>
      </c>
      <c r="E960" s="143">
        <v>78000</v>
      </c>
      <c r="F960" s="117">
        <v>1403</v>
      </c>
      <c r="G960" s="321" t="s">
        <v>298</v>
      </c>
      <c r="H960" s="144">
        <f>bargiri[[#This Row],[میزان بارگیری شده]]*bargiri[[#This Row],[فی]]</f>
        <v>1485120000</v>
      </c>
      <c r="I960" s="321">
        <f>IF(year=bargiri[[#This Row],[سال]],1,0)</f>
        <v>0</v>
      </c>
      <c r="X960" s="1"/>
      <c r="Y960" s="1"/>
      <c r="Z960" s="1"/>
    </row>
    <row r="961" spans="1:26" ht="18.600000000000001" hidden="1" x14ac:dyDescent="0.25">
      <c r="A961" s="321" t="s">
        <v>182</v>
      </c>
      <c r="B961" s="321" t="s">
        <v>107</v>
      </c>
      <c r="C961" s="318" t="s">
        <v>50</v>
      </c>
      <c r="D961">
        <v>19160</v>
      </c>
      <c r="E961" s="143">
        <v>70000</v>
      </c>
      <c r="F961" s="117">
        <v>1403</v>
      </c>
      <c r="G961" s="321" t="s">
        <v>298</v>
      </c>
      <c r="H961" s="144">
        <f>bargiri[[#This Row],[میزان بارگیری شده]]*bargiri[[#This Row],[فی]]</f>
        <v>1341200000</v>
      </c>
      <c r="I961" s="321">
        <f>IF(year=bargiri[[#This Row],[سال]],1,0)</f>
        <v>0</v>
      </c>
      <c r="X961" s="1"/>
      <c r="Y961" s="1"/>
      <c r="Z961" s="1"/>
    </row>
    <row r="962" spans="1:26" ht="18.600000000000001" hidden="1" x14ac:dyDescent="0.25">
      <c r="A962" s="321" t="s">
        <v>215</v>
      </c>
      <c r="B962" s="321" t="s">
        <v>115</v>
      </c>
      <c r="C962" s="318" t="s">
        <v>66</v>
      </c>
      <c r="D962">
        <v>8500</v>
      </c>
      <c r="E962" s="143">
        <v>45000</v>
      </c>
      <c r="F962" s="117">
        <v>1403</v>
      </c>
      <c r="G962" s="321" t="s">
        <v>304</v>
      </c>
      <c r="H962" s="144">
        <f>bargiri[[#This Row],[میزان بارگیری شده]]*bargiri[[#This Row],[فی]]</f>
        <v>382500000</v>
      </c>
      <c r="I962" s="321">
        <f>IF(year=bargiri[[#This Row],[سال]],1,0)</f>
        <v>0</v>
      </c>
      <c r="X962" s="1"/>
      <c r="Y962" s="1"/>
      <c r="Z962" s="1"/>
    </row>
    <row r="963" spans="1:26" ht="18.600000000000001" hidden="1" x14ac:dyDescent="0.25">
      <c r="A963" s="321" t="s">
        <v>215</v>
      </c>
      <c r="B963" s="321" t="s">
        <v>115</v>
      </c>
      <c r="C963" s="318" t="s">
        <v>65</v>
      </c>
      <c r="D963">
        <v>14640</v>
      </c>
      <c r="E963" s="143">
        <v>75000</v>
      </c>
      <c r="F963" s="117">
        <v>1403</v>
      </c>
      <c r="G963" s="321" t="s">
        <v>304</v>
      </c>
      <c r="H963" s="144">
        <f>bargiri[[#This Row],[میزان بارگیری شده]]*bargiri[[#This Row],[فی]]</f>
        <v>1098000000</v>
      </c>
      <c r="I963" s="321">
        <f>IF(year=bargiri[[#This Row],[سال]],1,0)</f>
        <v>0</v>
      </c>
      <c r="X963" s="1"/>
      <c r="Y963" s="1"/>
      <c r="Z963" s="1"/>
    </row>
    <row r="964" spans="1:26" ht="18.600000000000001" hidden="1" x14ac:dyDescent="0.25">
      <c r="A964" s="321" t="s">
        <v>156</v>
      </c>
      <c r="B964" s="321" t="s">
        <v>104</v>
      </c>
      <c r="C964" s="318" t="s">
        <v>42</v>
      </c>
      <c r="D964">
        <v>6910</v>
      </c>
      <c r="E964" s="143">
        <v>75000</v>
      </c>
      <c r="F964" s="117">
        <v>1403</v>
      </c>
      <c r="G964" s="321" t="s">
        <v>304</v>
      </c>
      <c r="H964" s="144">
        <f>bargiri[[#This Row],[میزان بارگیری شده]]*bargiri[[#This Row],[فی]]</f>
        <v>518250000</v>
      </c>
      <c r="I964" s="321">
        <f>IF(year=bargiri[[#This Row],[سال]],1,0)</f>
        <v>0</v>
      </c>
      <c r="X964" s="1"/>
      <c r="Y964" s="1"/>
      <c r="Z964" s="1"/>
    </row>
    <row r="965" spans="1:26" ht="18.600000000000001" hidden="1" x14ac:dyDescent="0.25">
      <c r="A965" s="321" t="s">
        <v>156</v>
      </c>
      <c r="B965" s="321" t="s">
        <v>104</v>
      </c>
      <c r="C965" s="318" t="s">
        <v>41</v>
      </c>
      <c r="D965">
        <v>200</v>
      </c>
      <c r="E965" s="143">
        <v>85000</v>
      </c>
      <c r="F965" s="117">
        <v>1403</v>
      </c>
      <c r="G965" s="321" t="s">
        <v>304</v>
      </c>
      <c r="H965" s="144">
        <f>bargiri[[#This Row],[میزان بارگیری شده]]*bargiri[[#This Row],[فی]]</f>
        <v>17000000</v>
      </c>
      <c r="I965" s="321">
        <f>IF(year=bargiri[[#This Row],[سال]],1,0)</f>
        <v>0</v>
      </c>
      <c r="X965" s="1"/>
      <c r="Y965" s="1"/>
      <c r="Z965" s="1"/>
    </row>
    <row r="966" spans="1:26" ht="18.600000000000001" hidden="1" x14ac:dyDescent="0.25">
      <c r="A966" s="321" t="s">
        <v>186</v>
      </c>
      <c r="B966" s="321" t="s">
        <v>98</v>
      </c>
      <c r="C966" s="318" t="s">
        <v>10</v>
      </c>
      <c r="D966">
        <v>7395</v>
      </c>
      <c r="E966" s="143">
        <v>70000</v>
      </c>
      <c r="F966" s="117">
        <v>1403</v>
      </c>
      <c r="G966" s="321" t="s">
        <v>298</v>
      </c>
      <c r="H966" s="144">
        <f>bargiri[[#This Row],[میزان بارگیری شده]]*bargiri[[#This Row],[فی]]</f>
        <v>517650000</v>
      </c>
      <c r="I966" s="321">
        <f>IF(year=bargiri[[#This Row],[سال]],1,0)</f>
        <v>0</v>
      </c>
      <c r="X966" s="1"/>
      <c r="Y966" s="1"/>
      <c r="Z966" s="1"/>
    </row>
    <row r="967" spans="1:26" ht="18.600000000000001" hidden="1" x14ac:dyDescent="0.25">
      <c r="A967" s="321" t="s">
        <v>186</v>
      </c>
      <c r="B967" s="321" t="s">
        <v>98</v>
      </c>
      <c r="C967" s="318" t="s">
        <v>8</v>
      </c>
      <c r="D967">
        <v>12910</v>
      </c>
      <c r="E967" s="143">
        <v>72000</v>
      </c>
      <c r="F967" s="117">
        <v>1403</v>
      </c>
      <c r="G967" s="321" t="s">
        <v>298</v>
      </c>
      <c r="H967" s="144">
        <f>bargiri[[#This Row],[میزان بارگیری شده]]*bargiri[[#This Row],[فی]]</f>
        <v>929520000</v>
      </c>
      <c r="I967" s="321">
        <f>IF(year=bargiri[[#This Row],[سال]],1,0)</f>
        <v>0</v>
      </c>
      <c r="X967" s="1"/>
      <c r="Y967" s="1"/>
      <c r="Z967" s="1"/>
    </row>
    <row r="968" spans="1:26" ht="18.600000000000001" hidden="1" x14ac:dyDescent="0.25">
      <c r="A968" s="321" t="s">
        <v>186</v>
      </c>
      <c r="B968" s="321" t="s">
        <v>102</v>
      </c>
      <c r="C968" s="318" t="s">
        <v>25</v>
      </c>
      <c r="D968">
        <v>10225</v>
      </c>
      <c r="E968" s="143">
        <v>65000</v>
      </c>
      <c r="F968" s="117">
        <v>1403</v>
      </c>
      <c r="G968" s="321" t="s">
        <v>298</v>
      </c>
      <c r="H968" s="144">
        <f>bargiri[[#This Row],[میزان بارگیری شده]]*bargiri[[#This Row],[فی]]</f>
        <v>664625000</v>
      </c>
      <c r="I968" s="321">
        <f>IF(year=bargiri[[#This Row],[سال]],1,0)</f>
        <v>0</v>
      </c>
      <c r="X968" s="1"/>
      <c r="Y968" s="1"/>
      <c r="Z968" s="1"/>
    </row>
    <row r="969" spans="1:26" ht="18.600000000000001" hidden="1" x14ac:dyDescent="0.25">
      <c r="A969" s="321" t="s">
        <v>186</v>
      </c>
      <c r="B969" s="321" t="s">
        <v>120</v>
      </c>
      <c r="C969" s="318" t="s">
        <v>88</v>
      </c>
      <c r="D969">
        <v>9675</v>
      </c>
      <c r="E969" s="143">
        <v>80000</v>
      </c>
      <c r="F969" s="117">
        <v>1403</v>
      </c>
      <c r="G969" s="321" t="s">
        <v>298</v>
      </c>
      <c r="H969" s="144">
        <f>bargiri[[#This Row],[میزان بارگیری شده]]*bargiri[[#This Row],[فی]]</f>
        <v>774000000</v>
      </c>
      <c r="I969" s="321">
        <f>IF(year=bargiri[[#This Row],[سال]],1,0)</f>
        <v>0</v>
      </c>
      <c r="X969" s="1"/>
      <c r="Y969" s="1"/>
      <c r="Z969" s="1"/>
    </row>
    <row r="970" spans="1:26" ht="18.600000000000001" hidden="1" x14ac:dyDescent="0.25">
      <c r="A970" s="321" t="s">
        <v>386</v>
      </c>
      <c r="B970" s="321" t="s">
        <v>116</v>
      </c>
      <c r="C970" s="318" t="s">
        <v>77</v>
      </c>
      <c r="D970">
        <v>20210</v>
      </c>
      <c r="E970" s="143">
        <v>68500</v>
      </c>
      <c r="F970" s="117">
        <v>1403</v>
      </c>
      <c r="G970" s="321" t="s">
        <v>298</v>
      </c>
      <c r="H970" s="144">
        <f>bargiri[[#This Row],[میزان بارگیری شده]]*bargiri[[#This Row],[فی]]</f>
        <v>1384385000</v>
      </c>
      <c r="I970" s="321">
        <f>IF(year=bargiri[[#This Row],[سال]],1,0)</f>
        <v>0</v>
      </c>
      <c r="X970" s="1"/>
      <c r="Y970" s="1"/>
      <c r="Z970" s="1"/>
    </row>
    <row r="971" spans="1:26" ht="18.600000000000001" hidden="1" x14ac:dyDescent="0.25">
      <c r="A971" s="321" t="s">
        <v>386</v>
      </c>
      <c r="B971" s="321" t="s">
        <v>101</v>
      </c>
      <c r="C971" s="318" t="s">
        <v>20</v>
      </c>
      <c r="D971">
        <v>20180</v>
      </c>
      <c r="E971" s="143">
        <v>68000</v>
      </c>
      <c r="F971" s="117">
        <v>1403</v>
      </c>
      <c r="G971" s="321" t="s">
        <v>298</v>
      </c>
      <c r="H971" s="144">
        <f>bargiri[[#This Row],[میزان بارگیری شده]]*bargiri[[#This Row],[فی]]</f>
        <v>1372240000</v>
      </c>
      <c r="I971" s="321">
        <f>IF(year=bargiri[[#This Row],[سال]],1,0)</f>
        <v>0</v>
      </c>
      <c r="X971" s="1"/>
      <c r="Y971" s="1"/>
      <c r="Z971" s="1"/>
    </row>
    <row r="972" spans="1:26" ht="18.600000000000001" hidden="1" x14ac:dyDescent="0.25">
      <c r="A972" s="321" t="s">
        <v>386</v>
      </c>
      <c r="B972" s="321" t="s">
        <v>103</v>
      </c>
      <c r="C972" s="318" t="s">
        <v>30</v>
      </c>
      <c r="D972">
        <v>7390</v>
      </c>
      <c r="E972" s="143">
        <v>70000</v>
      </c>
      <c r="F972" s="117">
        <v>1403</v>
      </c>
      <c r="G972" s="321" t="s">
        <v>298</v>
      </c>
      <c r="H972" s="144">
        <f>bargiri[[#This Row],[میزان بارگیری شده]]*bargiri[[#This Row],[فی]]</f>
        <v>517300000</v>
      </c>
      <c r="I972" s="321">
        <f>IF(year=bargiri[[#This Row],[سال]],1,0)</f>
        <v>0</v>
      </c>
      <c r="X972" s="1"/>
      <c r="Y972" s="1"/>
      <c r="Z972" s="1"/>
    </row>
    <row r="973" spans="1:26" ht="18.600000000000001" hidden="1" x14ac:dyDescent="0.25">
      <c r="A973" s="321" t="s">
        <v>226</v>
      </c>
      <c r="B973" s="321" t="s">
        <v>116</v>
      </c>
      <c r="C973" s="318" t="s">
        <v>77</v>
      </c>
      <c r="D973">
        <v>20020</v>
      </c>
      <c r="E973" s="143">
        <v>68500</v>
      </c>
      <c r="F973" s="117">
        <v>1403</v>
      </c>
      <c r="G973" s="321" t="s">
        <v>304</v>
      </c>
      <c r="H973" s="144">
        <f>bargiri[[#This Row],[میزان بارگیری شده]]*bargiri[[#This Row],[فی]]</f>
        <v>1371370000</v>
      </c>
      <c r="I973" s="321">
        <f>IF(year=bargiri[[#This Row],[سال]],1,0)</f>
        <v>0</v>
      </c>
      <c r="X973" s="1"/>
      <c r="Y973" s="1"/>
      <c r="Z973" s="1"/>
    </row>
    <row r="974" spans="1:26" ht="18.600000000000001" hidden="1" x14ac:dyDescent="0.25">
      <c r="A974" s="321" t="s">
        <v>387</v>
      </c>
      <c r="B974" s="321" t="s">
        <v>107</v>
      </c>
      <c r="C974" s="318" t="s">
        <v>50</v>
      </c>
      <c r="D974">
        <v>19090</v>
      </c>
      <c r="E974" s="143">
        <v>70000</v>
      </c>
      <c r="F974" s="117">
        <v>1403</v>
      </c>
      <c r="G974" s="321" t="s">
        <v>299</v>
      </c>
      <c r="H974" s="144">
        <f>bargiri[[#This Row],[میزان بارگیری شده]]*bargiri[[#This Row],[فی]]</f>
        <v>1336300000</v>
      </c>
      <c r="I974" s="321">
        <f>IF(year=bargiri[[#This Row],[سال]],1,0)</f>
        <v>0</v>
      </c>
      <c r="X974" s="1"/>
      <c r="Y974" s="1"/>
      <c r="Z974" s="1"/>
    </row>
    <row r="975" spans="1:26" ht="18.600000000000001" hidden="1" x14ac:dyDescent="0.25">
      <c r="A975" s="321" t="s">
        <v>141</v>
      </c>
      <c r="B975" s="321" t="s">
        <v>116</v>
      </c>
      <c r="C975" s="318" t="s">
        <v>77</v>
      </c>
      <c r="D975">
        <v>19120</v>
      </c>
      <c r="E975" s="143">
        <v>68500</v>
      </c>
      <c r="F975" s="117">
        <v>1403</v>
      </c>
      <c r="G975" s="321" t="s">
        <v>299</v>
      </c>
      <c r="H975" s="144">
        <f>bargiri[[#This Row],[میزان بارگیری شده]]*bargiri[[#This Row],[فی]]</f>
        <v>1309720000</v>
      </c>
      <c r="I975" s="321">
        <f>IF(year=bargiri[[#This Row],[سال]],1,0)</f>
        <v>0</v>
      </c>
      <c r="X975" s="1"/>
      <c r="Y975" s="1"/>
      <c r="Z975" s="1"/>
    </row>
    <row r="976" spans="1:26" ht="18.600000000000001" x14ac:dyDescent="0.25">
      <c r="A976" s="321" t="s">
        <v>141</v>
      </c>
      <c r="B976" s="321" t="s">
        <v>118</v>
      </c>
      <c r="C976" s="318" t="s">
        <v>84</v>
      </c>
      <c r="D976">
        <v>20435</v>
      </c>
      <c r="E976" s="143">
        <v>57273</v>
      </c>
      <c r="F976" s="117">
        <v>1403</v>
      </c>
      <c r="G976" s="321" t="s">
        <v>299</v>
      </c>
      <c r="H976" s="144">
        <f>bargiri[[#This Row],[میزان بارگیری شده]]*bargiri[[#This Row],[فی]]</f>
        <v>1170373755</v>
      </c>
      <c r="I976" s="321">
        <f>IF(year=bargiri[[#This Row],[سال]],1,0)</f>
        <v>0</v>
      </c>
      <c r="X976" s="1"/>
      <c r="Y976" s="1"/>
      <c r="Z976" s="1"/>
    </row>
    <row r="977" spans="1:26" ht="18.600000000000001" x14ac:dyDescent="0.25">
      <c r="A977" s="321" t="s">
        <v>141</v>
      </c>
      <c r="B977" s="321" t="s">
        <v>118</v>
      </c>
      <c r="C977" s="318" t="s">
        <v>84</v>
      </c>
      <c r="D977">
        <v>20745</v>
      </c>
      <c r="E977" s="143">
        <v>57273</v>
      </c>
      <c r="F977" s="117">
        <v>1403</v>
      </c>
      <c r="G977" s="321" t="s">
        <v>299</v>
      </c>
      <c r="H977" s="144">
        <f>bargiri[[#This Row],[میزان بارگیری شده]]*bargiri[[#This Row],[فی]]</f>
        <v>1188128385</v>
      </c>
      <c r="I977" s="321">
        <f>IF(year=bargiri[[#This Row],[سال]],1,0)</f>
        <v>0</v>
      </c>
      <c r="X977" s="1"/>
      <c r="Y977" s="1"/>
      <c r="Z977" s="1"/>
    </row>
    <row r="978" spans="1:26" ht="18.600000000000001" hidden="1" x14ac:dyDescent="0.25">
      <c r="A978" s="321" t="s">
        <v>141</v>
      </c>
      <c r="B978" s="321" t="s">
        <v>101</v>
      </c>
      <c r="C978" s="318" t="s">
        <v>18</v>
      </c>
      <c r="D978">
        <v>12260</v>
      </c>
      <c r="E978" s="143">
        <v>92000</v>
      </c>
      <c r="F978" s="117">
        <v>1403</v>
      </c>
      <c r="G978" s="321" t="s">
        <v>299</v>
      </c>
      <c r="H978" s="144">
        <f>bargiri[[#This Row],[میزان بارگیری شده]]*bargiri[[#This Row],[فی]]</f>
        <v>1127920000</v>
      </c>
      <c r="I978" s="321">
        <f>IF(year=bargiri[[#This Row],[سال]],1,0)</f>
        <v>0</v>
      </c>
      <c r="X978" s="1"/>
      <c r="Y978" s="1"/>
      <c r="Z978" s="1"/>
    </row>
    <row r="979" spans="1:26" ht="18.600000000000001" x14ac:dyDescent="0.25">
      <c r="A979" s="321" t="s">
        <v>388</v>
      </c>
      <c r="B979" s="321" t="s">
        <v>118</v>
      </c>
      <c r="C979" s="318" t="s">
        <v>84</v>
      </c>
      <c r="D979">
        <v>20665</v>
      </c>
      <c r="E979" s="143">
        <v>57273</v>
      </c>
      <c r="F979" s="117">
        <v>1403</v>
      </c>
      <c r="G979" s="321" t="s">
        <v>299</v>
      </c>
      <c r="H979" s="144">
        <f>bargiri[[#This Row],[میزان بارگیری شده]]*bargiri[[#This Row],[فی]]</f>
        <v>1183546545</v>
      </c>
      <c r="I979" s="321">
        <f>IF(year=bargiri[[#This Row],[سال]],1,0)</f>
        <v>0</v>
      </c>
      <c r="X979" s="1"/>
      <c r="Y979" s="1"/>
      <c r="Z979" s="1"/>
    </row>
    <row r="980" spans="1:26" ht="18.600000000000001" x14ac:dyDescent="0.25">
      <c r="A980" s="321" t="s">
        <v>388</v>
      </c>
      <c r="B980" s="321" t="s">
        <v>118</v>
      </c>
      <c r="C980" s="318" t="s">
        <v>84</v>
      </c>
      <c r="D980">
        <v>21120</v>
      </c>
      <c r="E980" s="143">
        <v>57273</v>
      </c>
      <c r="F980" s="117">
        <v>1403</v>
      </c>
      <c r="G980" s="321" t="s">
        <v>299</v>
      </c>
      <c r="H980" s="144">
        <f>bargiri[[#This Row],[میزان بارگیری شده]]*bargiri[[#This Row],[فی]]</f>
        <v>1209605760</v>
      </c>
      <c r="I980" s="321">
        <f>IF(year=bargiri[[#This Row],[سال]],1,0)</f>
        <v>0</v>
      </c>
      <c r="X980" s="1"/>
      <c r="Y980" s="1"/>
      <c r="Z980" s="1"/>
    </row>
    <row r="981" spans="1:26" ht="18.600000000000001" x14ac:dyDescent="0.25">
      <c r="A981" s="321" t="s">
        <v>389</v>
      </c>
      <c r="B981" s="321" t="s">
        <v>118</v>
      </c>
      <c r="C981" s="318" t="s">
        <v>84</v>
      </c>
      <c r="D981">
        <v>20185</v>
      </c>
      <c r="E981" s="143">
        <v>57273</v>
      </c>
      <c r="F981" s="117">
        <v>1403</v>
      </c>
      <c r="G981" s="321" t="s">
        <v>299</v>
      </c>
      <c r="H981" s="144">
        <f>bargiri[[#This Row],[میزان بارگیری شده]]*bargiri[[#This Row],[فی]]</f>
        <v>1156055505</v>
      </c>
      <c r="I981" s="321">
        <f>IF(year=bargiri[[#This Row],[سال]],1,0)</f>
        <v>0</v>
      </c>
      <c r="X981" s="1"/>
      <c r="Y981" s="1"/>
      <c r="Z981" s="1"/>
    </row>
    <row r="982" spans="1:26" ht="18.600000000000001" x14ac:dyDescent="0.25">
      <c r="A982" s="321" t="s">
        <v>389</v>
      </c>
      <c r="B982" s="321" t="s">
        <v>118</v>
      </c>
      <c r="C982" s="318" t="s">
        <v>84</v>
      </c>
      <c r="D982">
        <v>20245</v>
      </c>
      <c r="E982" s="143">
        <v>57273</v>
      </c>
      <c r="F982" s="117">
        <v>1403</v>
      </c>
      <c r="G982" s="321" t="s">
        <v>299</v>
      </c>
      <c r="H982" s="144">
        <f>bargiri[[#This Row],[میزان بارگیری شده]]*bargiri[[#This Row],[فی]]</f>
        <v>1159491885</v>
      </c>
      <c r="I982" s="321">
        <f>IF(year=bargiri[[#This Row],[سال]],1,0)</f>
        <v>0</v>
      </c>
      <c r="X982" s="1"/>
      <c r="Y982" s="1"/>
      <c r="Z982" s="1"/>
    </row>
    <row r="983" spans="1:26" ht="18.600000000000001" x14ac:dyDescent="0.25">
      <c r="A983" s="321" t="s">
        <v>389</v>
      </c>
      <c r="B983" s="321" t="s">
        <v>118</v>
      </c>
      <c r="C983" s="318" t="s">
        <v>84</v>
      </c>
      <c r="D983">
        <v>20255</v>
      </c>
      <c r="E983" s="143">
        <v>57273</v>
      </c>
      <c r="F983" s="117">
        <v>1403</v>
      </c>
      <c r="G983" s="321" t="s">
        <v>299</v>
      </c>
      <c r="H983" s="144">
        <f>bargiri[[#This Row],[میزان بارگیری شده]]*bargiri[[#This Row],[فی]]</f>
        <v>1160064615</v>
      </c>
      <c r="I983" s="321">
        <f>IF(year=bargiri[[#This Row],[سال]],1,0)</f>
        <v>0</v>
      </c>
      <c r="X983" s="1"/>
      <c r="Y983" s="1"/>
      <c r="Z983" s="1"/>
    </row>
    <row r="984" spans="1:26" ht="18.600000000000001" x14ac:dyDescent="0.25">
      <c r="A984" s="321" t="s">
        <v>389</v>
      </c>
      <c r="B984" s="321" t="s">
        <v>118</v>
      </c>
      <c r="C984" s="318" t="s">
        <v>84</v>
      </c>
      <c r="D984">
        <v>20260</v>
      </c>
      <c r="E984" s="143">
        <v>57273</v>
      </c>
      <c r="F984" s="117">
        <v>1403</v>
      </c>
      <c r="G984" s="321" t="s">
        <v>299</v>
      </c>
      <c r="H984" s="144">
        <f>bargiri[[#This Row],[میزان بارگیری شده]]*bargiri[[#This Row],[فی]]</f>
        <v>1160350980</v>
      </c>
      <c r="I984" s="321">
        <f>IF(year=bargiri[[#This Row],[سال]],1,0)</f>
        <v>0</v>
      </c>
      <c r="X984" s="1"/>
      <c r="Y984" s="1"/>
      <c r="Z984" s="1"/>
    </row>
    <row r="985" spans="1:26" ht="18.600000000000001" x14ac:dyDescent="0.25">
      <c r="A985" s="321" t="s">
        <v>389</v>
      </c>
      <c r="B985" s="321" t="s">
        <v>118</v>
      </c>
      <c r="C985" s="318" t="s">
        <v>84</v>
      </c>
      <c r="D985">
        <v>19895</v>
      </c>
      <c r="E985" s="143">
        <v>57273</v>
      </c>
      <c r="F985" s="117">
        <v>1403</v>
      </c>
      <c r="G985" s="321" t="s">
        <v>299</v>
      </c>
      <c r="H985" s="144">
        <f>bargiri[[#This Row],[میزان بارگیری شده]]*bargiri[[#This Row],[فی]]</f>
        <v>1139446335</v>
      </c>
      <c r="I985" s="321">
        <f>IF(year=bargiri[[#This Row],[سال]],1,0)</f>
        <v>0</v>
      </c>
      <c r="X985" s="1"/>
      <c r="Y985" s="1"/>
      <c r="Z985" s="1"/>
    </row>
    <row r="986" spans="1:26" ht="18.600000000000001" x14ac:dyDescent="0.25">
      <c r="A986" s="321" t="s">
        <v>389</v>
      </c>
      <c r="B986" s="321" t="s">
        <v>118</v>
      </c>
      <c r="C986" s="318" t="s">
        <v>84</v>
      </c>
      <c r="D986">
        <v>20055</v>
      </c>
      <c r="E986" s="143">
        <v>57273</v>
      </c>
      <c r="F986" s="117">
        <v>1403</v>
      </c>
      <c r="G986" s="321" t="s">
        <v>299</v>
      </c>
      <c r="H986" s="144">
        <f>bargiri[[#This Row],[میزان بارگیری شده]]*bargiri[[#This Row],[فی]]</f>
        <v>1148610015</v>
      </c>
      <c r="I986" s="321">
        <f>IF(year=bargiri[[#This Row],[سال]],1,0)</f>
        <v>0</v>
      </c>
      <c r="X986" s="1"/>
      <c r="Y986" s="1"/>
      <c r="Z986" s="1"/>
    </row>
    <row r="987" spans="1:26" ht="18.600000000000001" x14ac:dyDescent="0.25">
      <c r="A987" s="321" t="s">
        <v>390</v>
      </c>
      <c r="B987" s="321" t="s">
        <v>118</v>
      </c>
      <c r="C987" s="318" t="s">
        <v>84</v>
      </c>
      <c r="D987">
        <v>20220</v>
      </c>
      <c r="E987" s="143">
        <v>57273</v>
      </c>
      <c r="F987" s="117">
        <v>1403</v>
      </c>
      <c r="G987" s="321" t="s">
        <v>299</v>
      </c>
      <c r="H987" s="144">
        <f>bargiri[[#This Row],[میزان بارگیری شده]]*bargiri[[#This Row],[فی]]</f>
        <v>1158060060</v>
      </c>
      <c r="I987" s="321">
        <f>IF(year=bargiri[[#This Row],[سال]],1,0)</f>
        <v>0</v>
      </c>
      <c r="X987" s="1"/>
      <c r="Y987" s="1"/>
      <c r="Z987" s="1"/>
    </row>
    <row r="988" spans="1:26" ht="18.600000000000001" x14ac:dyDescent="0.25">
      <c r="A988" s="321" t="s">
        <v>390</v>
      </c>
      <c r="B988" s="321" t="s">
        <v>118</v>
      </c>
      <c r="C988" s="318" t="s">
        <v>84</v>
      </c>
      <c r="D988">
        <v>20280</v>
      </c>
      <c r="E988" s="143">
        <v>57273</v>
      </c>
      <c r="F988" s="117">
        <v>1403</v>
      </c>
      <c r="G988" s="321" t="s">
        <v>299</v>
      </c>
      <c r="H988" s="144">
        <f>bargiri[[#This Row],[میزان بارگیری شده]]*bargiri[[#This Row],[فی]]</f>
        <v>1161496440</v>
      </c>
      <c r="I988" s="321">
        <f>IF(year=bargiri[[#This Row],[سال]],1,0)</f>
        <v>0</v>
      </c>
      <c r="X988" s="1"/>
      <c r="Y988" s="1"/>
      <c r="Z988" s="1"/>
    </row>
    <row r="989" spans="1:26" ht="18.600000000000001" x14ac:dyDescent="0.25">
      <c r="A989" s="321" t="s">
        <v>390</v>
      </c>
      <c r="B989" s="321" t="s">
        <v>118</v>
      </c>
      <c r="C989" s="318" t="s">
        <v>84</v>
      </c>
      <c r="D989">
        <v>20210</v>
      </c>
      <c r="E989" s="143">
        <v>57273</v>
      </c>
      <c r="F989" s="117">
        <v>1403</v>
      </c>
      <c r="G989" s="321" t="s">
        <v>299</v>
      </c>
      <c r="H989" s="144">
        <f>bargiri[[#This Row],[میزان بارگیری شده]]*bargiri[[#This Row],[فی]]</f>
        <v>1157487330</v>
      </c>
      <c r="I989" s="321">
        <f>IF(year=bargiri[[#This Row],[سال]],1,0)</f>
        <v>0</v>
      </c>
      <c r="X989" s="1"/>
      <c r="Y989" s="1"/>
      <c r="Z989" s="1"/>
    </row>
    <row r="990" spans="1:26" ht="18.600000000000001" x14ac:dyDescent="0.25">
      <c r="A990" s="321" t="s">
        <v>391</v>
      </c>
      <c r="B990" s="321" t="s">
        <v>118</v>
      </c>
      <c r="C990" s="318" t="s">
        <v>84</v>
      </c>
      <c r="D990">
        <v>20575</v>
      </c>
      <c r="E990" s="143">
        <v>57273</v>
      </c>
      <c r="F990" s="117">
        <v>1403</v>
      </c>
      <c r="G990" s="321" t="s">
        <v>299</v>
      </c>
      <c r="H990" s="144">
        <f>bargiri[[#This Row],[میزان بارگیری شده]]*bargiri[[#This Row],[فی]]</f>
        <v>1178391975</v>
      </c>
      <c r="I990" s="321">
        <f>IF(year=bargiri[[#This Row],[سال]],1,0)</f>
        <v>0</v>
      </c>
      <c r="X990" s="1"/>
      <c r="Y990" s="1"/>
      <c r="Z990" s="1"/>
    </row>
    <row r="991" spans="1:26" ht="18.600000000000001" x14ac:dyDescent="0.25">
      <c r="A991" s="321" t="s">
        <v>392</v>
      </c>
      <c r="B991" s="321" t="s">
        <v>118</v>
      </c>
      <c r="C991" s="318" t="s">
        <v>84</v>
      </c>
      <c r="D991">
        <v>21325</v>
      </c>
      <c r="E991" s="143">
        <v>57273</v>
      </c>
      <c r="F991" s="117">
        <v>1403</v>
      </c>
      <c r="G991" s="321" t="s">
        <v>299</v>
      </c>
      <c r="H991" s="144">
        <f>bargiri[[#This Row],[میزان بارگیری شده]]*bargiri[[#This Row],[فی]]</f>
        <v>1221346725</v>
      </c>
      <c r="I991" s="321">
        <f>IF(year=bargiri[[#This Row],[سال]],1,0)</f>
        <v>0</v>
      </c>
      <c r="X991" s="1"/>
      <c r="Y991" s="1"/>
      <c r="Z991" s="1"/>
    </row>
    <row r="992" spans="1:26" ht="18.600000000000001" x14ac:dyDescent="0.25">
      <c r="A992" s="321" t="s">
        <v>392</v>
      </c>
      <c r="B992" s="321" t="s">
        <v>118</v>
      </c>
      <c r="C992" s="318" t="s">
        <v>84</v>
      </c>
      <c r="D992">
        <v>20850</v>
      </c>
      <c r="E992" s="143">
        <v>57273</v>
      </c>
      <c r="F992" s="117">
        <v>1403</v>
      </c>
      <c r="G992" s="321" t="s">
        <v>299</v>
      </c>
      <c r="H992" s="144">
        <f>bargiri[[#This Row],[میزان بارگیری شده]]*bargiri[[#This Row],[فی]]</f>
        <v>1194142050</v>
      </c>
      <c r="I992" s="321">
        <f>IF(year=bargiri[[#This Row],[سال]],1,0)</f>
        <v>0</v>
      </c>
      <c r="X992" s="1"/>
      <c r="Y992" s="1"/>
      <c r="Z992" s="1"/>
    </row>
    <row r="993" spans="1:26" ht="18.600000000000001" x14ac:dyDescent="0.25">
      <c r="A993" s="321" t="s">
        <v>393</v>
      </c>
      <c r="B993" s="321" t="s">
        <v>118</v>
      </c>
      <c r="C993" s="318" t="s">
        <v>84</v>
      </c>
      <c r="D993">
        <v>21235</v>
      </c>
      <c r="E993" s="143">
        <v>57273</v>
      </c>
      <c r="F993" s="117">
        <v>1403</v>
      </c>
      <c r="G993" s="321" t="s">
        <v>299</v>
      </c>
      <c r="H993" s="144">
        <f>bargiri[[#This Row],[میزان بارگیری شده]]*bargiri[[#This Row],[فی]]</f>
        <v>1216192155</v>
      </c>
      <c r="I993" s="321">
        <f>IF(year=bargiri[[#This Row],[سال]],1,0)</f>
        <v>0</v>
      </c>
      <c r="X993" s="1"/>
      <c r="Y993" s="1"/>
      <c r="Z993" s="1"/>
    </row>
    <row r="994" spans="1:26" ht="18.600000000000001" x14ac:dyDescent="0.25">
      <c r="A994" s="321" t="s">
        <v>393</v>
      </c>
      <c r="B994" s="321" t="s">
        <v>118</v>
      </c>
      <c r="C994" s="318" t="s">
        <v>84</v>
      </c>
      <c r="D994">
        <v>20775</v>
      </c>
      <c r="E994" s="143">
        <v>57273</v>
      </c>
      <c r="F994" s="117">
        <v>1403</v>
      </c>
      <c r="G994" s="321" t="s">
        <v>299</v>
      </c>
      <c r="H994" s="144">
        <f>bargiri[[#This Row],[میزان بارگیری شده]]*bargiri[[#This Row],[فی]]</f>
        <v>1189846575</v>
      </c>
      <c r="I994" s="321">
        <f>IF(year=bargiri[[#This Row],[سال]],1,0)</f>
        <v>0</v>
      </c>
      <c r="X994" s="1"/>
      <c r="Y994" s="1"/>
      <c r="Z994" s="1"/>
    </row>
    <row r="995" spans="1:26" ht="18.600000000000001" x14ac:dyDescent="0.25">
      <c r="A995" s="321" t="s">
        <v>393</v>
      </c>
      <c r="B995" s="321" t="s">
        <v>118</v>
      </c>
      <c r="C995" s="318" t="s">
        <v>84</v>
      </c>
      <c r="D995">
        <v>21375</v>
      </c>
      <c r="E995" s="143">
        <v>57273</v>
      </c>
      <c r="F995" s="117">
        <v>1403</v>
      </c>
      <c r="G995" s="321" t="s">
        <v>299</v>
      </c>
      <c r="H995" s="144">
        <f>bargiri[[#This Row],[میزان بارگیری شده]]*bargiri[[#This Row],[فی]]</f>
        <v>1224210375</v>
      </c>
      <c r="I995" s="321">
        <f>IF(year=bargiri[[#This Row],[سال]],1,0)</f>
        <v>0</v>
      </c>
      <c r="X995" s="1"/>
      <c r="Y995" s="1"/>
      <c r="Z995" s="1"/>
    </row>
    <row r="996" spans="1:26" ht="18.600000000000001" x14ac:dyDescent="0.25">
      <c r="A996" s="321" t="s">
        <v>394</v>
      </c>
      <c r="B996" s="321" t="s">
        <v>118</v>
      </c>
      <c r="C996" s="318" t="s">
        <v>84</v>
      </c>
      <c r="D996">
        <v>20555</v>
      </c>
      <c r="E996" s="143">
        <v>57273</v>
      </c>
      <c r="F996" s="117">
        <v>1403</v>
      </c>
      <c r="G996" s="321" t="s">
        <v>299</v>
      </c>
      <c r="H996" s="144">
        <f>bargiri[[#This Row],[میزان بارگیری شده]]*bargiri[[#This Row],[فی]]</f>
        <v>1177246515</v>
      </c>
      <c r="I996" s="321">
        <f>IF(year=bargiri[[#This Row],[سال]],1,0)</f>
        <v>0</v>
      </c>
      <c r="X996" s="1"/>
      <c r="Y996" s="1"/>
      <c r="Z996" s="1"/>
    </row>
    <row r="997" spans="1:26" ht="18.600000000000001" x14ac:dyDescent="0.25">
      <c r="A997" s="321" t="s">
        <v>394</v>
      </c>
      <c r="B997" s="321" t="s">
        <v>118</v>
      </c>
      <c r="C997" s="318" t="s">
        <v>84</v>
      </c>
      <c r="D997">
        <v>21350</v>
      </c>
      <c r="E997" s="143">
        <v>57273</v>
      </c>
      <c r="F997" s="117">
        <v>1403</v>
      </c>
      <c r="G997" s="321" t="s">
        <v>299</v>
      </c>
      <c r="H997" s="144">
        <f>bargiri[[#This Row],[میزان بارگیری شده]]*bargiri[[#This Row],[فی]]</f>
        <v>1222778550</v>
      </c>
      <c r="I997" s="321">
        <f>IF(year=bargiri[[#This Row],[سال]],1,0)</f>
        <v>0</v>
      </c>
      <c r="X997" s="1"/>
      <c r="Y997" s="1"/>
      <c r="Z997" s="1"/>
    </row>
    <row r="998" spans="1:26" ht="18.600000000000001" x14ac:dyDescent="0.25">
      <c r="A998" s="321" t="s">
        <v>394</v>
      </c>
      <c r="B998" s="321" t="s">
        <v>118</v>
      </c>
      <c r="C998" s="318" t="s">
        <v>84</v>
      </c>
      <c r="D998">
        <v>20165</v>
      </c>
      <c r="E998" s="143">
        <v>57273</v>
      </c>
      <c r="F998" s="117">
        <v>1403</v>
      </c>
      <c r="G998" s="321" t="s">
        <v>299</v>
      </c>
      <c r="H998" s="144">
        <f>bargiri[[#This Row],[میزان بارگیری شده]]*bargiri[[#This Row],[فی]]</f>
        <v>1154910045</v>
      </c>
      <c r="I998" s="321">
        <f>IF(year=bargiri[[#This Row],[سال]],1,0)</f>
        <v>0</v>
      </c>
      <c r="X998" s="1"/>
      <c r="Y998" s="1"/>
      <c r="Z998" s="1"/>
    </row>
    <row r="999" spans="1:26" ht="18.600000000000001" x14ac:dyDescent="0.25">
      <c r="A999" s="321" t="s">
        <v>395</v>
      </c>
      <c r="B999" s="321" t="s">
        <v>118</v>
      </c>
      <c r="C999" s="318" t="s">
        <v>84</v>
      </c>
      <c r="D999">
        <v>20535</v>
      </c>
      <c r="E999" s="143">
        <v>57273</v>
      </c>
      <c r="F999" s="117">
        <v>1403</v>
      </c>
      <c r="G999" s="321" t="s">
        <v>300</v>
      </c>
      <c r="H999" s="144">
        <f>bargiri[[#This Row],[میزان بارگیری شده]]*bargiri[[#This Row],[فی]]</f>
        <v>1176101055</v>
      </c>
      <c r="I999" s="321">
        <f>IF(year=bargiri[[#This Row],[سال]],1,0)</f>
        <v>0</v>
      </c>
      <c r="X999" s="1"/>
      <c r="Y999" s="1"/>
      <c r="Z999" s="1"/>
    </row>
    <row r="1000" spans="1:26" ht="18.600000000000001" x14ac:dyDescent="0.25">
      <c r="A1000" s="321" t="s">
        <v>395</v>
      </c>
      <c r="B1000" s="321" t="s">
        <v>118</v>
      </c>
      <c r="C1000" s="318" t="s">
        <v>84</v>
      </c>
      <c r="D1000">
        <v>21115</v>
      </c>
      <c r="E1000" s="143">
        <v>57273</v>
      </c>
      <c r="F1000" s="117">
        <v>1403</v>
      </c>
      <c r="G1000" s="321" t="s">
        <v>300</v>
      </c>
      <c r="H1000" s="144">
        <f>bargiri[[#This Row],[میزان بارگیری شده]]*bargiri[[#This Row],[فی]]</f>
        <v>1209319395</v>
      </c>
      <c r="I1000" s="321">
        <f>IF(year=bargiri[[#This Row],[سال]],1,0)</f>
        <v>0</v>
      </c>
      <c r="X1000" s="1"/>
      <c r="Y1000" s="1"/>
      <c r="Z1000" s="1"/>
    </row>
    <row r="1001" spans="1:26" ht="18.600000000000001" x14ac:dyDescent="0.25">
      <c r="A1001" s="321" t="s">
        <v>396</v>
      </c>
      <c r="B1001" s="321" t="s">
        <v>118</v>
      </c>
      <c r="C1001" s="318" t="s">
        <v>84</v>
      </c>
      <c r="D1001">
        <v>21290</v>
      </c>
      <c r="E1001" s="143">
        <v>57273</v>
      </c>
      <c r="F1001" s="117">
        <v>1403</v>
      </c>
      <c r="G1001" s="321" t="s">
        <v>300</v>
      </c>
      <c r="H1001" s="144">
        <f>bargiri[[#This Row],[میزان بارگیری شده]]*bargiri[[#This Row],[فی]]</f>
        <v>1219342170</v>
      </c>
      <c r="I1001" s="321">
        <f>IF(year=bargiri[[#This Row],[سال]],1,0)</f>
        <v>0</v>
      </c>
      <c r="X1001" s="1"/>
      <c r="Y1001" s="1"/>
      <c r="Z1001" s="1"/>
    </row>
    <row r="1002" spans="1:26" ht="18.600000000000001" x14ac:dyDescent="0.25">
      <c r="A1002" s="321" t="s">
        <v>396</v>
      </c>
      <c r="B1002" s="321" t="s">
        <v>118</v>
      </c>
      <c r="C1002" s="318" t="s">
        <v>84</v>
      </c>
      <c r="D1002">
        <v>21130</v>
      </c>
      <c r="E1002" s="143">
        <v>57273</v>
      </c>
      <c r="F1002" s="117">
        <v>1403</v>
      </c>
      <c r="G1002" s="321" t="s">
        <v>300</v>
      </c>
      <c r="H1002" s="144">
        <f>bargiri[[#This Row],[میزان بارگیری شده]]*bargiri[[#This Row],[فی]]</f>
        <v>1210178490</v>
      </c>
      <c r="I1002" s="321">
        <f>IF(year=bargiri[[#This Row],[سال]],1,0)</f>
        <v>0</v>
      </c>
      <c r="X1002" s="1"/>
      <c r="Y1002" s="1"/>
      <c r="Z1002" s="1"/>
    </row>
    <row r="1003" spans="1:26" ht="18.600000000000001" x14ac:dyDescent="0.25">
      <c r="A1003" s="321" t="s">
        <v>396</v>
      </c>
      <c r="B1003" s="321" t="s">
        <v>118</v>
      </c>
      <c r="C1003" s="318" t="s">
        <v>84</v>
      </c>
      <c r="D1003">
        <v>20615</v>
      </c>
      <c r="E1003" s="143">
        <v>57273</v>
      </c>
      <c r="F1003" s="117">
        <v>1403</v>
      </c>
      <c r="G1003" s="321" t="s">
        <v>300</v>
      </c>
      <c r="H1003" s="144">
        <f>bargiri[[#This Row],[میزان بارگیری شده]]*bargiri[[#This Row],[فی]]</f>
        <v>1180682895</v>
      </c>
      <c r="I1003" s="321">
        <f>IF(year=bargiri[[#This Row],[سال]],1,0)</f>
        <v>0</v>
      </c>
      <c r="X1003" s="1"/>
      <c r="Y1003" s="1"/>
      <c r="Z1003" s="1"/>
    </row>
    <row r="1004" spans="1:26" ht="18.600000000000001" x14ac:dyDescent="0.25">
      <c r="A1004" s="321" t="s">
        <v>397</v>
      </c>
      <c r="B1004" s="321" t="s">
        <v>118</v>
      </c>
      <c r="C1004" s="318" t="s">
        <v>84</v>
      </c>
      <c r="D1004">
        <v>20635</v>
      </c>
      <c r="E1004" s="143">
        <v>57273</v>
      </c>
      <c r="F1004" s="117">
        <v>1403</v>
      </c>
      <c r="G1004" s="321" t="s">
        <v>300</v>
      </c>
      <c r="H1004" s="144">
        <f>bargiri[[#This Row],[میزان بارگیری شده]]*bargiri[[#This Row],[فی]]</f>
        <v>1181828355</v>
      </c>
      <c r="I1004" s="321">
        <f>IF(year=bargiri[[#This Row],[سال]],1,0)</f>
        <v>0</v>
      </c>
      <c r="X1004" s="1"/>
      <c r="Y1004" s="1"/>
      <c r="Z1004" s="1"/>
    </row>
    <row r="1005" spans="1:26" ht="18.600000000000001" x14ac:dyDescent="0.25">
      <c r="A1005" s="321" t="s">
        <v>397</v>
      </c>
      <c r="B1005" s="321" t="s">
        <v>118</v>
      </c>
      <c r="C1005" s="318" t="s">
        <v>84</v>
      </c>
      <c r="D1005">
        <v>21110</v>
      </c>
      <c r="E1005" s="143">
        <v>57273</v>
      </c>
      <c r="F1005" s="117">
        <v>1403</v>
      </c>
      <c r="G1005" s="321" t="s">
        <v>300</v>
      </c>
      <c r="H1005" s="144">
        <f>bargiri[[#This Row],[میزان بارگیری شده]]*bargiri[[#This Row],[فی]]</f>
        <v>1209033030</v>
      </c>
      <c r="I1005" s="321">
        <f>IF(year=bargiri[[#This Row],[سال]],1,0)</f>
        <v>0</v>
      </c>
      <c r="X1005" s="1"/>
      <c r="Y1005" s="1"/>
      <c r="Z1005" s="1"/>
    </row>
    <row r="1006" spans="1:26" ht="18.600000000000001" x14ac:dyDescent="0.25">
      <c r="A1006" s="321" t="s">
        <v>397</v>
      </c>
      <c r="B1006" s="321" t="s">
        <v>118</v>
      </c>
      <c r="C1006" s="318" t="s">
        <v>84</v>
      </c>
      <c r="D1006">
        <v>20870</v>
      </c>
      <c r="E1006" s="143">
        <v>57273</v>
      </c>
      <c r="F1006" s="117">
        <v>1403</v>
      </c>
      <c r="G1006" s="321" t="s">
        <v>300</v>
      </c>
      <c r="H1006" s="144">
        <f>bargiri[[#This Row],[میزان بارگیری شده]]*bargiri[[#This Row],[فی]]</f>
        <v>1195287510</v>
      </c>
      <c r="I1006" s="321">
        <f>IF(year=bargiri[[#This Row],[سال]],1,0)</f>
        <v>0</v>
      </c>
      <c r="X1006" s="1"/>
      <c r="Y1006" s="1"/>
      <c r="Z1006" s="1"/>
    </row>
    <row r="1007" spans="1:26" ht="18.600000000000001" x14ac:dyDescent="0.25">
      <c r="A1007" s="321" t="s">
        <v>397</v>
      </c>
      <c r="B1007" s="321" t="s">
        <v>118</v>
      </c>
      <c r="C1007" s="318" t="s">
        <v>84</v>
      </c>
      <c r="D1007">
        <v>20830</v>
      </c>
      <c r="E1007" s="143">
        <v>57273</v>
      </c>
      <c r="F1007" s="117">
        <v>1403</v>
      </c>
      <c r="G1007" s="321" t="s">
        <v>300</v>
      </c>
      <c r="H1007" s="144">
        <f>bargiri[[#This Row],[میزان بارگیری شده]]*bargiri[[#This Row],[فی]]</f>
        <v>1192996590</v>
      </c>
      <c r="I1007" s="321">
        <f>IF(year=bargiri[[#This Row],[سال]],1,0)</f>
        <v>0</v>
      </c>
      <c r="X1007" s="1"/>
      <c r="Y1007" s="1"/>
      <c r="Z1007" s="1"/>
    </row>
    <row r="1008" spans="1:26" ht="18.600000000000001" x14ac:dyDescent="0.25">
      <c r="A1008" s="321" t="s">
        <v>398</v>
      </c>
      <c r="B1008" s="321" t="s">
        <v>118</v>
      </c>
      <c r="C1008" s="318" t="s">
        <v>84</v>
      </c>
      <c r="D1008">
        <v>21050</v>
      </c>
      <c r="E1008" s="143">
        <v>57273</v>
      </c>
      <c r="F1008" s="117">
        <v>1403</v>
      </c>
      <c r="G1008" s="321" t="s">
        <v>300</v>
      </c>
      <c r="H1008" s="144">
        <f>bargiri[[#This Row],[میزان بارگیری شده]]*bargiri[[#This Row],[فی]]</f>
        <v>1205596650</v>
      </c>
      <c r="I1008" s="321">
        <f>IF(year=bargiri[[#This Row],[سال]],1,0)</f>
        <v>0</v>
      </c>
      <c r="X1008" s="1"/>
      <c r="Y1008" s="1"/>
      <c r="Z1008" s="1"/>
    </row>
    <row r="1009" spans="1:26" ht="18.600000000000001" x14ac:dyDescent="0.25">
      <c r="A1009" s="321" t="s">
        <v>398</v>
      </c>
      <c r="B1009" s="321" t="s">
        <v>118</v>
      </c>
      <c r="C1009" s="318" t="s">
        <v>84</v>
      </c>
      <c r="D1009">
        <v>21005</v>
      </c>
      <c r="E1009" s="143">
        <v>57273</v>
      </c>
      <c r="F1009" s="117">
        <v>1403</v>
      </c>
      <c r="G1009" s="321" t="s">
        <v>300</v>
      </c>
      <c r="H1009" s="144">
        <f>bargiri[[#This Row],[میزان بارگیری شده]]*bargiri[[#This Row],[فی]]</f>
        <v>1203019365</v>
      </c>
      <c r="I1009" s="321">
        <f>IF(year=bargiri[[#This Row],[سال]],1,0)</f>
        <v>0</v>
      </c>
      <c r="X1009" s="1"/>
      <c r="Y1009" s="1"/>
      <c r="Z1009" s="1"/>
    </row>
    <row r="1010" spans="1:26" ht="18.600000000000001" x14ac:dyDescent="0.25">
      <c r="A1010" s="321" t="s">
        <v>398</v>
      </c>
      <c r="B1010" s="321" t="s">
        <v>118</v>
      </c>
      <c r="C1010" s="318" t="s">
        <v>84</v>
      </c>
      <c r="D1010">
        <v>21135</v>
      </c>
      <c r="E1010" s="143">
        <v>57273</v>
      </c>
      <c r="F1010" s="117">
        <v>1403</v>
      </c>
      <c r="G1010" s="321" t="s">
        <v>300</v>
      </c>
      <c r="H1010" s="144">
        <f>bargiri[[#This Row],[میزان بارگیری شده]]*bargiri[[#This Row],[فی]]</f>
        <v>1210464855</v>
      </c>
      <c r="I1010" s="321">
        <f>IF(year=bargiri[[#This Row],[سال]],1,0)</f>
        <v>0</v>
      </c>
      <c r="X1010" s="1"/>
      <c r="Y1010" s="1"/>
      <c r="Z1010" s="1"/>
    </row>
    <row r="1011" spans="1:26" ht="18.600000000000001" x14ac:dyDescent="0.25">
      <c r="A1011" s="321" t="s">
        <v>228</v>
      </c>
      <c r="B1011" s="321" t="s">
        <v>118</v>
      </c>
      <c r="C1011" s="318" t="s">
        <v>84</v>
      </c>
      <c r="D1011">
        <v>21450</v>
      </c>
      <c r="E1011" s="143">
        <v>57273</v>
      </c>
      <c r="F1011" s="117">
        <v>1403</v>
      </c>
      <c r="G1011" s="321" t="s">
        <v>301</v>
      </c>
      <c r="H1011" s="144">
        <f>bargiri[[#This Row],[میزان بارگیری شده]]*bargiri[[#This Row],[فی]]</f>
        <v>1228505850</v>
      </c>
      <c r="I1011" s="321">
        <f>IF(year=bargiri[[#This Row],[سال]],1,0)</f>
        <v>0</v>
      </c>
      <c r="X1011" s="1"/>
      <c r="Y1011" s="1"/>
      <c r="Z1011" s="1"/>
    </row>
    <row r="1012" spans="1:26" ht="18.600000000000001" x14ac:dyDescent="0.25">
      <c r="A1012" s="321" t="s">
        <v>176</v>
      </c>
      <c r="B1012" s="321" t="s">
        <v>118</v>
      </c>
      <c r="C1012" s="318" t="s">
        <v>84</v>
      </c>
      <c r="D1012">
        <v>20635</v>
      </c>
      <c r="E1012" s="143">
        <v>57273</v>
      </c>
      <c r="F1012" s="117">
        <v>1403</v>
      </c>
      <c r="G1012" s="321" t="s">
        <v>301</v>
      </c>
      <c r="H1012" s="144">
        <f>bargiri[[#This Row],[میزان بارگیری شده]]*bargiri[[#This Row],[فی]]</f>
        <v>1181828355</v>
      </c>
      <c r="I1012" s="321">
        <f>IF(year=bargiri[[#This Row],[سال]],1,0)</f>
        <v>0</v>
      </c>
      <c r="X1012" s="1"/>
      <c r="Y1012" s="1"/>
      <c r="Z1012" s="1"/>
    </row>
    <row r="1013" spans="1:26" ht="18.600000000000001" x14ac:dyDescent="0.25">
      <c r="A1013" s="321" t="s">
        <v>176</v>
      </c>
      <c r="B1013" s="321" t="s">
        <v>118</v>
      </c>
      <c r="C1013" s="318" t="s">
        <v>84</v>
      </c>
      <c r="D1013">
        <v>20980</v>
      </c>
      <c r="E1013" s="143">
        <v>57273</v>
      </c>
      <c r="F1013" s="117">
        <v>1403</v>
      </c>
      <c r="G1013" s="321" t="s">
        <v>301</v>
      </c>
      <c r="H1013" s="144">
        <f>bargiri[[#This Row],[میزان بارگیری شده]]*bargiri[[#This Row],[فی]]</f>
        <v>1201587540</v>
      </c>
      <c r="I1013" s="321">
        <f>IF(year=bargiri[[#This Row],[سال]],1,0)</f>
        <v>0</v>
      </c>
      <c r="X1013" s="1"/>
      <c r="Y1013" s="1"/>
      <c r="Z1013" s="1"/>
    </row>
    <row r="1014" spans="1:26" ht="18.600000000000001" x14ac:dyDescent="0.25">
      <c r="A1014" s="321" t="s">
        <v>176</v>
      </c>
      <c r="B1014" s="321" t="s">
        <v>118</v>
      </c>
      <c r="C1014" s="318" t="s">
        <v>84</v>
      </c>
      <c r="D1014">
        <v>20980</v>
      </c>
      <c r="E1014" s="143">
        <v>57273</v>
      </c>
      <c r="F1014" s="117">
        <v>1403</v>
      </c>
      <c r="G1014" s="321" t="s">
        <v>301</v>
      </c>
      <c r="H1014" s="144">
        <f>bargiri[[#This Row],[میزان بارگیری شده]]*bargiri[[#This Row],[فی]]</f>
        <v>1201587540</v>
      </c>
      <c r="I1014" s="321">
        <f>IF(year=bargiri[[#This Row],[سال]],1,0)</f>
        <v>0</v>
      </c>
      <c r="X1014" s="1"/>
      <c r="Y1014" s="1"/>
      <c r="Z1014" s="1"/>
    </row>
    <row r="1015" spans="1:26" ht="18.600000000000001" hidden="1" x14ac:dyDescent="0.25">
      <c r="A1015" s="321" t="s">
        <v>399</v>
      </c>
      <c r="B1015" s="321" t="s">
        <v>106</v>
      </c>
      <c r="C1015" s="318" t="s">
        <v>48</v>
      </c>
      <c r="D1015">
        <v>15010</v>
      </c>
      <c r="E1015" s="143">
        <v>65000</v>
      </c>
      <c r="F1015" s="117">
        <v>1403</v>
      </c>
      <c r="G1015" s="321" t="s">
        <v>299</v>
      </c>
      <c r="H1015" s="144">
        <f>bargiri[[#This Row],[میزان بارگیری شده]]*bargiri[[#This Row],[فی]]</f>
        <v>975650000</v>
      </c>
      <c r="I1015" s="321">
        <f>IF(year=bargiri[[#This Row],[سال]],1,0)</f>
        <v>0</v>
      </c>
      <c r="X1015" s="1"/>
      <c r="Y1015" s="1"/>
      <c r="Z1015" s="1"/>
    </row>
    <row r="1016" spans="1:26" ht="18.600000000000001" hidden="1" x14ac:dyDescent="0.25">
      <c r="A1016" s="321" t="s">
        <v>399</v>
      </c>
      <c r="B1016" s="321" t="s">
        <v>107</v>
      </c>
      <c r="C1016" s="318" t="s">
        <v>50</v>
      </c>
      <c r="D1016">
        <v>19165</v>
      </c>
      <c r="E1016" s="143">
        <v>70000</v>
      </c>
      <c r="F1016" s="117">
        <v>1403</v>
      </c>
      <c r="G1016" s="321" t="s">
        <v>299</v>
      </c>
      <c r="H1016" s="144">
        <f>bargiri[[#This Row],[میزان بارگیری شده]]*bargiri[[#This Row],[فی]]</f>
        <v>1341550000</v>
      </c>
      <c r="I1016" s="321">
        <f>IF(year=bargiri[[#This Row],[سال]],1,0)</f>
        <v>0</v>
      </c>
      <c r="X1016" s="1"/>
      <c r="Y1016" s="1"/>
      <c r="Z1016" s="1"/>
    </row>
    <row r="1017" spans="1:26" ht="18.600000000000001" hidden="1" x14ac:dyDescent="0.25">
      <c r="A1017" s="321" t="s">
        <v>399</v>
      </c>
      <c r="B1017" s="321" t="s">
        <v>120</v>
      </c>
      <c r="C1017" s="318" t="s">
        <v>88</v>
      </c>
      <c r="D1017">
        <v>8620</v>
      </c>
      <c r="E1017" s="143">
        <v>80000</v>
      </c>
      <c r="F1017" s="117">
        <v>1403</v>
      </c>
      <c r="G1017" s="321" t="s">
        <v>299</v>
      </c>
      <c r="H1017" s="144">
        <f>bargiri[[#This Row],[میزان بارگیری شده]]*bargiri[[#This Row],[فی]]</f>
        <v>689600000</v>
      </c>
      <c r="I1017" s="321">
        <f>IF(year=bargiri[[#This Row],[سال]],1,0)</f>
        <v>0</v>
      </c>
      <c r="X1017" s="1"/>
      <c r="Y1017" s="1"/>
      <c r="Z1017" s="1"/>
    </row>
    <row r="1018" spans="1:26" ht="18.600000000000001" hidden="1" x14ac:dyDescent="0.25">
      <c r="A1018" s="321" t="s">
        <v>399</v>
      </c>
      <c r="B1018" s="321" t="s">
        <v>113</v>
      </c>
      <c r="C1018" s="318" t="s">
        <v>61</v>
      </c>
      <c r="D1018">
        <v>13030</v>
      </c>
      <c r="E1018" s="143">
        <v>75000</v>
      </c>
      <c r="F1018" s="117">
        <v>1403</v>
      </c>
      <c r="G1018" s="321" t="s">
        <v>299</v>
      </c>
      <c r="H1018" s="144">
        <f>bargiri[[#This Row],[میزان بارگیری شده]]*bargiri[[#This Row],[فی]]</f>
        <v>977250000</v>
      </c>
      <c r="I1018" s="321">
        <f>IF(year=bargiri[[#This Row],[سال]],1,0)</f>
        <v>0</v>
      </c>
      <c r="X1018" s="1"/>
      <c r="Y1018" s="1"/>
      <c r="Z1018" s="1"/>
    </row>
    <row r="1019" spans="1:26" ht="18.600000000000001" hidden="1" x14ac:dyDescent="0.25">
      <c r="A1019" s="321" t="s">
        <v>148</v>
      </c>
      <c r="B1019" s="321" t="s">
        <v>103</v>
      </c>
      <c r="C1019" s="318" t="s">
        <v>30</v>
      </c>
      <c r="D1019">
        <v>7615</v>
      </c>
      <c r="E1019" s="143">
        <v>70000</v>
      </c>
      <c r="F1019" s="117">
        <v>1403</v>
      </c>
      <c r="G1019" s="321" t="s">
        <v>299</v>
      </c>
      <c r="H1019" s="144">
        <f>bargiri[[#This Row],[میزان بارگیری شده]]*bargiri[[#This Row],[فی]]</f>
        <v>533050000</v>
      </c>
      <c r="I1019" s="321">
        <f>IF(year=bargiri[[#This Row],[سال]],1,0)</f>
        <v>0</v>
      </c>
      <c r="X1019" s="1"/>
      <c r="Y1019" s="1"/>
      <c r="Z1019" s="1"/>
    </row>
    <row r="1020" spans="1:26" ht="18.600000000000001" hidden="1" x14ac:dyDescent="0.25">
      <c r="A1020" s="321" t="s">
        <v>148</v>
      </c>
      <c r="B1020" s="321" t="s">
        <v>102</v>
      </c>
      <c r="C1020" s="318" t="s">
        <v>25</v>
      </c>
      <c r="D1020">
        <v>11130</v>
      </c>
      <c r="E1020" s="143">
        <v>65000</v>
      </c>
      <c r="F1020" s="117">
        <v>1403</v>
      </c>
      <c r="G1020" s="321" t="s">
        <v>299</v>
      </c>
      <c r="H1020" s="144">
        <f>bargiri[[#This Row],[میزان بارگیری شده]]*bargiri[[#This Row],[فی]]</f>
        <v>723450000</v>
      </c>
      <c r="I1020" s="321">
        <f>IF(year=bargiri[[#This Row],[سال]],1,0)</f>
        <v>0</v>
      </c>
      <c r="X1020" s="1"/>
      <c r="Y1020" s="1"/>
      <c r="Z1020" s="1"/>
    </row>
    <row r="1021" spans="1:26" ht="18.600000000000001" hidden="1" x14ac:dyDescent="0.25">
      <c r="A1021" s="321" t="s">
        <v>148</v>
      </c>
      <c r="B1021" s="321" t="s">
        <v>113</v>
      </c>
      <c r="C1021" s="318" t="s">
        <v>61</v>
      </c>
      <c r="D1021">
        <v>19060</v>
      </c>
      <c r="E1021" s="143">
        <v>75000</v>
      </c>
      <c r="F1021" s="117">
        <v>1403</v>
      </c>
      <c r="G1021" s="321" t="s">
        <v>299</v>
      </c>
      <c r="H1021" s="144">
        <f>bargiri[[#This Row],[میزان بارگیری شده]]*bargiri[[#This Row],[فی]]</f>
        <v>1429500000</v>
      </c>
      <c r="I1021" s="321">
        <f>IF(year=bargiri[[#This Row],[سال]],1,0)</f>
        <v>0</v>
      </c>
      <c r="X1021" s="1"/>
      <c r="Y1021" s="1"/>
      <c r="Z1021" s="1"/>
    </row>
    <row r="1022" spans="1:26" ht="18.600000000000001" hidden="1" x14ac:dyDescent="0.25">
      <c r="A1022" s="321" t="s">
        <v>400</v>
      </c>
      <c r="B1022" s="321" t="s">
        <v>101</v>
      </c>
      <c r="C1022" s="318" t="s">
        <v>20</v>
      </c>
      <c r="D1022">
        <v>20250</v>
      </c>
      <c r="E1022" s="143">
        <v>68000</v>
      </c>
      <c r="F1022" s="117">
        <v>1403</v>
      </c>
      <c r="G1022" s="321" t="s">
        <v>299</v>
      </c>
      <c r="H1022" s="144">
        <f>bargiri[[#This Row],[میزان بارگیری شده]]*bargiri[[#This Row],[فی]]</f>
        <v>1377000000</v>
      </c>
      <c r="I1022" s="321">
        <f>IF(year=bargiri[[#This Row],[سال]],1,0)</f>
        <v>0</v>
      </c>
      <c r="X1022" s="1"/>
      <c r="Y1022" s="1"/>
      <c r="Z1022" s="1"/>
    </row>
    <row r="1023" spans="1:26" ht="18.600000000000001" hidden="1" x14ac:dyDescent="0.25">
      <c r="A1023" s="321" t="s">
        <v>142</v>
      </c>
      <c r="B1023" s="321" t="s">
        <v>98</v>
      </c>
      <c r="C1023" s="318" t="s">
        <v>10</v>
      </c>
      <c r="D1023">
        <v>10185</v>
      </c>
      <c r="E1023" s="143">
        <v>70000</v>
      </c>
      <c r="F1023" s="117">
        <v>1403</v>
      </c>
      <c r="G1023" s="321" t="s">
        <v>299</v>
      </c>
      <c r="H1023" s="144">
        <f>bargiri[[#This Row],[میزان بارگیری شده]]*bargiri[[#This Row],[فی]]</f>
        <v>712950000</v>
      </c>
      <c r="I1023" s="321">
        <f>IF(year=bargiri[[#This Row],[سال]],1,0)</f>
        <v>0</v>
      </c>
      <c r="X1023" s="1"/>
      <c r="Y1023" s="1"/>
      <c r="Z1023" s="1"/>
    </row>
    <row r="1024" spans="1:26" ht="18.600000000000001" hidden="1" x14ac:dyDescent="0.25">
      <c r="A1024" s="321" t="s">
        <v>142</v>
      </c>
      <c r="B1024" s="321" t="s">
        <v>116</v>
      </c>
      <c r="C1024" s="318" t="s">
        <v>77</v>
      </c>
      <c r="D1024">
        <v>19325</v>
      </c>
      <c r="E1024" s="143">
        <v>68500</v>
      </c>
      <c r="F1024" s="117">
        <v>1403</v>
      </c>
      <c r="G1024" s="321" t="s">
        <v>299</v>
      </c>
      <c r="H1024" s="144">
        <f>bargiri[[#This Row],[میزان بارگیری شده]]*bargiri[[#This Row],[فی]]</f>
        <v>1323762500</v>
      </c>
      <c r="I1024" s="321">
        <f>IF(year=bargiri[[#This Row],[سال]],1,0)</f>
        <v>0</v>
      </c>
      <c r="X1024" s="1"/>
      <c r="Y1024" s="1"/>
      <c r="Z1024" s="1"/>
    </row>
    <row r="1025" spans="1:26" ht="18.600000000000001" hidden="1" x14ac:dyDescent="0.25">
      <c r="A1025" s="321" t="s">
        <v>142</v>
      </c>
      <c r="B1025" s="321" t="s">
        <v>107</v>
      </c>
      <c r="C1025" s="318" t="s">
        <v>50</v>
      </c>
      <c r="D1025">
        <v>19035</v>
      </c>
      <c r="E1025" s="143">
        <v>70000</v>
      </c>
      <c r="F1025" s="117">
        <v>1403</v>
      </c>
      <c r="G1025" s="321" t="s">
        <v>299</v>
      </c>
      <c r="H1025" s="144">
        <f>bargiri[[#This Row],[میزان بارگیری شده]]*bargiri[[#This Row],[فی]]</f>
        <v>1332450000</v>
      </c>
      <c r="I1025" s="321">
        <f>IF(year=bargiri[[#This Row],[سال]],1,0)</f>
        <v>0</v>
      </c>
      <c r="X1025" s="1"/>
      <c r="Y1025" s="1"/>
      <c r="Z1025" s="1"/>
    </row>
    <row r="1026" spans="1:26" ht="18.600000000000001" hidden="1" x14ac:dyDescent="0.25">
      <c r="A1026" s="321" t="s">
        <v>142</v>
      </c>
      <c r="B1026" s="321" t="s">
        <v>120</v>
      </c>
      <c r="C1026" s="318" t="s">
        <v>88</v>
      </c>
      <c r="D1026">
        <v>9170</v>
      </c>
      <c r="E1026" s="143">
        <v>80000</v>
      </c>
      <c r="F1026" s="117">
        <v>1403</v>
      </c>
      <c r="G1026" s="321" t="s">
        <v>299</v>
      </c>
      <c r="H1026" s="144">
        <f>bargiri[[#This Row],[میزان بارگیری شده]]*bargiri[[#This Row],[فی]]</f>
        <v>733600000</v>
      </c>
      <c r="I1026" s="321">
        <f>IF(year=bargiri[[#This Row],[سال]],1,0)</f>
        <v>0</v>
      </c>
      <c r="X1026" s="1"/>
      <c r="Y1026" s="1"/>
      <c r="Z1026" s="1"/>
    </row>
    <row r="1027" spans="1:26" ht="18.600000000000001" hidden="1" x14ac:dyDescent="0.25">
      <c r="A1027" s="321" t="s">
        <v>401</v>
      </c>
      <c r="B1027" s="321" t="s">
        <v>106</v>
      </c>
      <c r="C1027" s="318" t="s">
        <v>48</v>
      </c>
      <c r="D1027">
        <v>5130</v>
      </c>
      <c r="E1027" s="143">
        <v>65000</v>
      </c>
      <c r="F1027" s="117">
        <v>1403</v>
      </c>
      <c r="G1027" s="321" t="s">
        <v>299</v>
      </c>
      <c r="H1027" s="144">
        <f>bargiri[[#This Row],[میزان بارگیری شده]]*bargiri[[#This Row],[فی]]</f>
        <v>333450000</v>
      </c>
      <c r="I1027" s="321">
        <f>IF(year=bargiri[[#This Row],[سال]],1,0)</f>
        <v>0</v>
      </c>
      <c r="X1027" s="1"/>
      <c r="Y1027" s="1"/>
      <c r="Z1027" s="1"/>
    </row>
    <row r="1028" spans="1:26" ht="18.600000000000001" hidden="1" x14ac:dyDescent="0.25">
      <c r="A1028" s="321" t="s">
        <v>401</v>
      </c>
      <c r="B1028" s="321" t="s">
        <v>110</v>
      </c>
      <c r="C1028" s="318" t="s">
        <v>57</v>
      </c>
      <c r="D1028">
        <v>20140</v>
      </c>
      <c r="E1028" s="143">
        <v>78000</v>
      </c>
      <c r="F1028" s="117">
        <v>1403</v>
      </c>
      <c r="G1028" s="321" t="s">
        <v>299</v>
      </c>
      <c r="H1028" s="144">
        <f>bargiri[[#This Row],[میزان بارگیری شده]]*bargiri[[#This Row],[فی]]</f>
        <v>1570920000</v>
      </c>
      <c r="I1028" s="321">
        <f>IF(year=bargiri[[#This Row],[سال]],1,0)</f>
        <v>0</v>
      </c>
      <c r="X1028" s="1"/>
      <c r="Y1028" s="1"/>
      <c r="Z1028" s="1"/>
    </row>
    <row r="1029" spans="1:26" ht="18.600000000000001" hidden="1" x14ac:dyDescent="0.25">
      <c r="A1029" s="321" t="s">
        <v>401</v>
      </c>
      <c r="B1029" s="321" t="s">
        <v>119</v>
      </c>
      <c r="C1029" s="318" t="s">
        <v>86</v>
      </c>
      <c r="D1029">
        <v>14265</v>
      </c>
      <c r="E1029" s="143">
        <v>79301</v>
      </c>
      <c r="F1029" s="117">
        <v>1403</v>
      </c>
      <c r="G1029" s="321" t="s">
        <v>299</v>
      </c>
      <c r="H1029" s="144">
        <f>bargiri[[#This Row],[میزان بارگیری شده]]*bargiri[[#This Row],[فی]]</f>
        <v>1131228765</v>
      </c>
      <c r="I1029" s="321">
        <f>IF(year=bargiri[[#This Row],[سال]],1,0)</f>
        <v>0</v>
      </c>
      <c r="X1029" s="1"/>
      <c r="Y1029" s="1"/>
      <c r="Z1029" s="1"/>
    </row>
    <row r="1030" spans="1:26" ht="18.600000000000001" hidden="1" x14ac:dyDescent="0.25">
      <c r="A1030" s="321" t="s">
        <v>401</v>
      </c>
      <c r="B1030" s="321" t="s">
        <v>106</v>
      </c>
      <c r="C1030" s="318" t="s">
        <v>48</v>
      </c>
      <c r="D1030">
        <v>5140</v>
      </c>
      <c r="E1030" s="143">
        <v>65000</v>
      </c>
      <c r="F1030" s="117">
        <v>1403</v>
      </c>
      <c r="G1030" s="321" t="s">
        <v>299</v>
      </c>
      <c r="H1030" s="144">
        <f>bargiri[[#This Row],[میزان بارگیری شده]]*bargiri[[#This Row],[فی]]</f>
        <v>334100000</v>
      </c>
      <c r="I1030" s="321">
        <f>IF(year=bargiri[[#This Row],[سال]],1,0)</f>
        <v>0</v>
      </c>
      <c r="X1030" s="1"/>
      <c r="Y1030" s="1"/>
      <c r="Z1030" s="1"/>
    </row>
    <row r="1031" spans="1:26" ht="18.600000000000001" hidden="1" x14ac:dyDescent="0.25">
      <c r="A1031" s="321" t="s">
        <v>401</v>
      </c>
      <c r="B1031" s="321" t="s">
        <v>117</v>
      </c>
      <c r="C1031" s="318" t="s">
        <v>82</v>
      </c>
      <c r="D1031">
        <v>20165</v>
      </c>
      <c r="E1031" s="143">
        <v>70000</v>
      </c>
      <c r="F1031" s="117">
        <v>1403</v>
      </c>
      <c r="G1031" s="321" t="s">
        <v>299</v>
      </c>
      <c r="H1031" s="144">
        <f>bargiri[[#This Row],[میزان بارگیری شده]]*bargiri[[#This Row],[فی]]</f>
        <v>1411550000</v>
      </c>
      <c r="I1031" s="321">
        <f>IF(year=bargiri[[#This Row],[سال]],1,0)</f>
        <v>0</v>
      </c>
      <c r="X1031" s="1"/>
      <c r="Y1031" s="1"/>
      <c r="Z1031" s="1"/>
    </row>
    <row r="1032" spans="1:26" ht="18.600000000000001" hidden="1" x14ac:dyDescent="0.25">
      <c r="A1032" s="321" t="s">
        <v>400</v>
      </c>
      <c r="B1032" s="321" t="s">
        <v>116</v>
      </c>
      <c r="C1032" s="318" t="s">
        <v>77</v>
      </c>
      <c r="D1032">
        <v>22280</v>
      </c>
      <c r="E1032" s="143">
        <v>68500</v>
      </c>
      <c r="F1032" s="117">
        <v>1403</v>
      </c>
      <c r="G1032" s="321" t="s">
        <v>299</v>
      </c>
      <c r="H1032" s="144">
        <f>bargiri[[#This Row],[میزان بارگیری شده]]*bargiri[[#This Row],[فی]]</f>
        <v>1526180000</v>
      </c>
      <c r="I1032" s="321">
        <f>IF(year=bargiri[[#This Row],[سال]],1,0)</f>
        <v>0</v>
      </c>
      <c r="X1032" s="1"/>
      <c r="Y1032" s="1"/>
      <c r="Z1032" s="1"/>
    </row>
    <row r="1033" spans="1:26" ht="18.600000000000001" hidden="1" x14ac:dyDescent="0.25">
      <c r="A1033" s="321" t="s">
        <v>400</v>
      </c>
      <c r="B1033" s="321" t="s">
        <v>102</v>
      </c>
      <c r="C1033" s="318" t="s">
        <v>25</v>
      </c>
      <c r="D1033">
        <v>10250</v>
      </c>
      <c r="E1033" s="143">
        <v>65000</v>
      </c>
      <c r="F1033" s="117">
        <v>1403</v>
      </c>
      <c r="G1033" s="321" t="s">
        <v>299</v>
      </c>
      <c r="H1033" s="144">
        <f>bargiri[[#This Row],[میزان بارگیری شده]]*bargiri[[#This Row],[فی]]</f>
        <v>666250000</v>
      </c>
      <c r="I1033" s="321">
        <f>IF(year=bargiri[[#This Row],[سال]],1,0)</f>
        <v>0</v>
      </c>
      <c r="X1033" s="1"/>
      <c r="Y1033" s="1"/>
      <c r="Z1033" s="1"/>
    </row>
    <row r="1034" spans="1:26" ht="18.600000000000001" hidden="1" x14ac:dyDescent="0.25">
      <c r="A1034" s="321" t="s">
        <v>402</v>
      </c>
      <c r="B1034" s="321" t="s">
        <v>107</v>
      </c>
      <c r="C1034" s="318" t="s">
        <v>50</v>
      </c>
      <c r="D1034">
        <v>19160</v>
      </c>
      <c r="E1034" s="143">
        <v>70000</v>
      </c>
      <c r="F1034" s="117">
        <v>1403</v>
      </c>
      <c r="G1034" s="321" t="s">
        <v>299</v>
      </c>
      <c r="H1034" s="144">
        <f>bargiri[[#This Row],[میزان بارگیری شده]]*bargiri[[#This Row],[فی]]</f>
        <v>1341200000</v>
      </c>
      <c r="I1034" s="321">
        <f>IF(year=bargiri[[#This Row],[سال]],1,0)</f>
        <v>0</v>
      </c>
      <c r="X1034" s="1"/>
      <c r="Y1034" s="1"/>
      <c r="Z1034" s="1"/>
    </row>
    <row r="1035" spans="1:26" ht="18.600000000000001" hidden="1" x14ac:dyDescent="0.25">
      <c r="A1035" s="321" t="s">
        <v>388</v>
      </c>
      <c r="B1035" s="321" t="s">
        <v>103</v>
      </c>
      <c r="C1035" s="318" t="s">
        <v>30</v>
      </c>
      <c r="D1035">
        <v>7200</v>
      </c>
      <c r="E1035" s="143">
        <v>70000</v>
      </c>
      <c r="F1035" s="117">
        <v>1403</v>
      </c>
      <c r="G1035" s="321" t="s">
        <v>299</v>
      </c>
      <c r="H1035" s="144">
        <f>bargiri[[#This Row],[میزان بارگیری شده]]*bargiri[[#This Row],[فی]]</f>
        <v>504000000</v>
      </c>
      <c r="I1035" s="321">
        <f>IF(year=bargiri[[#This Row],[سال]],1,0)</f>
        <v>0</v>
      </c>
      <c r="X1035" s="1"/>
      <c r="Y1035" s="1"/>
      <c r="Z1035" s="1"/>
    </row>
    <row r="1036" spans="1:26" ht="18.600000000000001" hidden="1" x14ac:dyDescent="0.25">
      <c r="A1036" s="321" t="s">
        <v>388</v>
      </c>
      <c r="B1036" s="321" t="s">
        <v>116</v>
      </c>
      <c r="C1036" s="318" t="s">
        <v>77</v>
      </c>
      <c r="D1036">
        <v>20100</v>
      </c>
      <c r="E1036" s="143">
        <v>68500</v>
      </c>
      <c r="F1036" s="117">
        <v>1403</v>
      </c>
      <c r="G1036" s="321" t="s">
        <v>299</v>
      </c>
      <c r="H1036" s="144">
        <f>bargiri[[#This Row],[میزان بارگیری شده]]*bargiri[[#This Row],[فی]]</f>
        <v>1376850000</v>
      </c>
      <c r="I1036" s="321">
        <f>IF(year=bargiri[[#This Row],[سال]],1,0)</f>
        <v>0</v>
      </c>
      <c r="X1036" s="1"/>
      <c r="Y1036" s="1"/>
      <c r="Z1036" s="1"/>
    </row>
    <row r="1037" spans="1:26" ht="18.600000000000001" hidden="1" x14ac:dyDescent="0.25">
      <c r="A1037" s="321" t="s">
        <v>403</v>
      </c>
      <c r="B1037" s="321" t="s">
        <v>107</v>
      </c>
      <c r="C1037" s="318" t="s">
        <v>50</v>
      </c>
      <c r="D1037">
        <v>19090</v>
      </c>
      <c r="E1037" s="143">
        <v>70000</v>
      </c>
      <c r="F1037" s="117">
        <v>1403</v>
      </c>
      <c r="G1037" s="321" t="s">
        <v>299</v>
      </c>
      <c r="H1037" s="144">
        <f>bargiri[[#This Row],[میزان بارگیری شده]]*bargiri[[#This Row],[فی]]</f>
        <v>1336300000</v>
      </c>
      <c r="I1037" s="321">
        <f>IF(year=bargiri[[#This Row],[سال]],1,0)</f>
        <v>0</v>
      </c>
      <c r="X1037" s="1"/>
      <c r="Y1037" s="1"/>
      <c r="Z1037" s="1"/>
    </row>
    <row r="1038" spans="1:26" ht="18.600000000000001" hidden="1" x14ac:dyDescent="0.25">
      <c r="A1038" s="321" t="s">
        <v>403</v>
      </c>
      <c r="B1038" s="321" t="s">
        <v>116</v>
      </c>
      <c r="C1038" s="318" t="s">
        <v>77</v>
      </c>
      <c r="D1038">
        <v>12080</v>
      </c>
      <c r="E1038" s="143">
        <v>68500</v>
      </c>
      <c r="F1038" s="117">
        <v>1403</v>
      </c>
      <c r="G1038" s="321" t="s">
        <v>299</v>
      </c>
      <c r="H1038" s="144">
        <f>bargiri[[#This Row],[میزان بارگیری شده]]*bargiri[[#This Row],[فی]]</f>
        <v>827480000</v>
      </c>
      <c r="I1038" s="321">
        <f>IF(year=bargiri[[#This Row],[سال]],1,0)</f>
        <v>0</v>
      </c>
      <c r="X1038" s="1"/>
      <c r="Y1038" s="1"/>
      <c r="Z1038" s="1"/>
    </row>
    <row r="1039" spans="1:26" ht="18.600000000000001" hidden="1" x14ac:dyDescent="0.25">
      <c r="A1039" s="321" t="s">
        <v>404</v>
      </c>
      <c r="B1039" s="321" t="s">
        <v>116</v>
      </c>
      <c r="C1039" s="318" t="s">
        <v>77</v>
      </c>
      <c r="D1039">
        <v>17350</v>
      </c>
      <c r="E1039" s="143">
        <v>68500</v>
      </c>
      <c r="F1039" s="117">
        <v>1403</v>
      </c>
      <c r="G1039" s="321" t="s">
        <v>299</v>
      </c>
      <c r="H1039" s="144">
        <f>bargiri[[#This Row],[میزان بارگیری شده]]*bargiri[[#This Row],[فی]]</f>
        <v>1188475000</v>
      </c>
      <c r="I1039" s="321">
        <f>IF(year=bargiri[[#This Row],[سال]],1,0)</f>
        <v>0</v>
      </c>
      <c r="X1039" s="1"/>
      <c r="Y1039" s="1"/>
      <c r="Z1039" s="1"/>
    </row>
    <row r="1040" spans="1:26" ht="18.600000000000001" hidden="1" x14ac:dyDescent="0.25">
      <c r="A1040" s="321" t="s">
        <v>404</v>
      </c>
      <c r="B1040" s="321" t="s">
        <v>106</v>
      </c>
      <c r="C1040" s="318" t="s">
        <v>48</v>
      </c>
      <c r="D1040">
        <v>19060</v>
      </c>
      <c r="E1040" s="143">
        <v>65000</v>
      </c>
      <c r="F1040" s="117">
        <v>1403</v>
      </c>
      <c r="G1040" s="321" t="s">
        <v>299</v>
      </c>
      <c r="H1040" s="144">
        <f>bargiri[[#This Row],[میزان بارگیری شده]]*bargiri[[#This Row],[فی]]</f>
        <v>1238900000</v>
      </c>
      <c r="I1040" s="321">
        <f>IF(year=bargiri[[#This Row],[سال]],1,0)</f>
        <v>0</v>
      </c>
      <c r="X1040" s="1"/>
      <c r="Y1040" s="1"/>
      <c r="Z1040" s="1"/>
    </row>
    <row r="1041" spans="1:26" ht="18.600000000000001" hidden="1" x14ac:dyDescent="0.25">
      <c r="A1041" s="321" t="s">
        <v>404</v>
      </c>
      <c r="B1041" s="321" t="s">
        <v>113</v>
      </c>
      <c r="C1041" s="318" t="s">
        <v>61</v>
      </c>
      <c r="D1041">
        <v>18710</v>
      </c>
      <c r="E1041" s="143">
        <v>75000</v>
      </c>
      <c r="F1041" s="117">
        <v>1403</v>
      </c>
      <c r="G1041" s="321" t="s">
        <v>299</v>
      </c>
      <c r="H1041" s="144">
        <f>bargiri[[#This Row],[میزان بارگیری شده]]*bargiri[[#This Row],[فی]]</f>
        <v>1403250000</v>
      </c>
      <c r="I1041" s="321">
        <f>IF(year=bargiri[[#This Row],[سال]],1,0)</f>
        <v>0</v>
      </c>
      <c r="X1041" s="1"/>
      <c r="Y1041" s="1"/>
      <c r="Z1041" s="1"/>
    </row>
    <row r="1042" spans="1:26" ht="18.600000000000001" hidden="1" x14ac:dyDescent="0.25">
      <c r="A1042" s="321" t="s">
        <v>229</v>
      </c>
      <c r="B1042" s="321" t="s">
        <v>120</v>
      </c>
      <c r="C1042" s="318" t="s">
        <v>88</v>
      </c>
      <c r="D1042">
        <v>8110</v>
      </c>
      <c r="E1042" s="143">
        <v>80000</v>
      </c>
      <c r="F1042" s="117">
        <v>1403</v>
      </c>
      <c r="G1042" s="321" t="s">
        <v>299</v>
      </c>
      <c r="H1042" s="144">
        <f>bargiri[[#This Row],[میزان بارگیری شده]]*bargiri[[#This Row],[فی]]</f>
        <v>648800000</v>
      </c>
      <c r="I1042" s="321">
        <f>IF(year=bargiri[[#This Row],[سال]],1,0)</f>
        <v>0</v>
      </c>
      <c r="X1042" s="1"/>
      <c r="Y1042" s="1"/>
      <c r="Z1042" s="1"/>
    </row>
    <row r="1043" spans="1:26" ht="18.600000000000001" hidden="1" x14ac:dyDescent="0.25">
      <c r="A1043" s="321" t="s">
        <v>229</v>
      </c>
      <c r="B1043" s="321" t="s">
        <v>116</v>
      </c>
      <c r="C1043" s="318" t="s">
        <v>77</v>
      </c>
      <c r="D1043">
        <v>20095</v>
      </c>
      <c r="E1043" s="143">
        <v>68500</v>
      </c>
      <c r="F1043" s="117">
        <v>1403</v>
      </c>
      <c r="G1043" s="321" t="s">
        <v>299</v>
      </c>
      <c r="H1043" s="144">
        <f>bargiri[[#This Row],[میزان بارگیری شده]]*bargiri[[#This Row],[فی]]</f>
        <v>1376507500</v>
      </c>
      <c r="I1043" s="321">
        <f>IF(year=bargiri[[#This Row],[سال]],1,0)</f>
        <v>0</v>
      </c>
      <c r="X1043" s="1"/>
      <c r="Y1043" s="1"/>
      <c r="Z1043" s="1"/>
    </row>
    <row r="1044" spans="1:26" ht="18.600000000000001" hidden="1" x14ac:dyDescent="0.25">
      <c r="A1044" s="321" t="s">
        <v>229</v>
      </c>
      <c r="B1044" s="321" t="s">
        <v>108</v>
      </c>
      <c r="C1044" s="318" t="s">
        <v>53</v>
      </c>
      <c r="D1044">
        <v>20100</v>
      </c>
      <c r="E1044" s="143">
        <v>70000</v>
      </c>
      <c r="F1044" s="117">
        <v>1403</v>
      </c>
      <c r="G1044" s="321" t="s">
        <v>299</v>
      </c>
      <c r="H1044" s="144">
        <f>bargiri[[#This Row],[میزان بارگیری شده]]*bargiri[[#This Row],[فی]]</f>
        <v>1407000000</v>
      </c>
      <c r="I1044" s="321">
        <f>IF(year=bargiri[[#This Row],[سال]],1,0)</f>
        <v>0</v>
      </c>
      <c r="X1044" s="1"/>
      <c r="Y1044" s="1"/>
      <c r="Z1044" s="1"/>
    </row>
    <row r="1045" spans="1:26" ht="18.600000000000001" hidden="1" x14ac:dyDescent="0.25">
      <c r="A1045" s="321" t="s">
        <v>405</v>
      </c>
      <c r="B1045" s="321" t="s">
        <v>116</v>
      </c>
      <c r="C1045" s="318" t="s">
        <v>77</v>
      </c>
      <c r="D1045">
        <v>20240</v>
      </c>
      <c r="E1045" s="143">
        <v>68500</v>
      </c>
      <c r="F1045" s="117">
        <v>1403</v>
      </c>
      <c r="G1045" s="321" t="s">
        <v>299</v>
      </c>
      <c r="H1045" s="144">
        <f>bargiri[[#This Row],[میزان بارگیری شده]]*bargiri[[#This Row],[فی]]</f>
        <v>1386440000</v>
      </c>
      <c r="I1045" s="321">
        <f>IF(year=bargiri[[#This Row],[سال]],1,0)</f>
        <v>0</v>
      </c>
      <c r="X1045" s="1"/>
      <c r="Y1045" s="1"/>
      <c r="Z1045" s="1"/>
    </row>
    <row r="1046" spans="1:26" ht="18.600000000000001" hidden="1" x14ac:dyDescent="0.25">
      <c r="A1046" s="321" t="s">
        <v>405</v>
      </c>
      <c r="B1046" s="321" t="s">
        <v>116</v>
      </c>
      <c r="C1046" s="318" t="s">
        <v>77</v>
      </c>
      <c r="D1046">
        <v>20180</v>
      </c>
      <c r="E1046" s="143">
        <v>68500</v>
      </c>
      <c r="F1046" s="117">
        <v>1403</v>
      </c>
      <c r="G1046" s="321" t="s">
        <v>299</v>
      </c>
      <c r="H1046" s="144">
        <f>bargiri[[#This Row],[میزان بارگیری شده]]*bargiri[[#This Row],[فی]]</f>
        <v>1382330000</v>
      </c>
      <c r="I1046" s="321">
        <f>IF(year=bargiri[[#This Row],[سال]],1,0)</f>
        <v>0</v>
      </c>
      <c r="X1046" s="1"/>
      <c r="Y1046" s="1"/>
      <c r="Z1046" s="1"/>
    </row>
    <row r="1047" spans="1:26" ht="18.600000000000001" hidden="1" x14ac:dyDescent="0.25">
      <c r="A1047" s="321" t="s">
        <v>405</v>
      </c>
      <c r="B1047" s="321" t="s">
        <v>117</v>
      </c>
      <c r="C1047" s="318" t="s">
        <v>82</v>
      </c>
      <c r="D1047">
        <v>20205</v>
      </c>
      <c r="E1047" s="143">
        <v>70000</v>
      </c>
      <c r="F1047" s="117">
        <v>1403</v>
      </c>
      <c r="G1047" s="321" t="s">
        <v>299</v>
      </c>
      <c r="H1047" s="144">
        <f>bargiri[[#This Row],[میزان بارگیری شده]]*bargiri[[#This Row],[فی]]</f>
        <v>1414350000</v>
      </c>
      <c r="I1047" s="321">
        <f>IF(year=bargiri[[#This Row],[سال]],1,0)</f>
        <v>0</v>
      </c>
      <c r="X1047" s="1"/>
      <c r="Y1047" s="1"/>
      <c r="Z1047" s="1"/>
    </row>
    <row r="1048" spans="1:26" ht="18.600000000000001" hidden="1" x14ac:dyDescent="0.25">
      <c r="A1048" s="321" t="s">
        <v>390</v>
      </c>
      <c r="B1048" s="321" t="s">
        <v>117</v>
      </c>
      <c r="C1048" s="318" t="s">
        <v>82</v>
      </c>
      <c r="D1048">
        <v>5570</v>
      </c>
      <c r="E1048" s="143">
        <v>70000</v>
      </c>
      <c r="F1048" s="117">
        <v>1403</v>
      </c>
      <c r="G1048" s="321" t="s">
        <v>299</v>
      </c>
      <c r="H1048" s="144">
        <f>bargiri[[#This Row],[میزان بارگیری شده]]*bargiri[[#This Row],[فی]]</f>
        <v>389900000</v>
      </c>
      <c r="I1048" s="321">
        <f>IF(year=bargiri[[#This Row],[سال]],1,0)</f>
        <v>0</v>
      </c>
      <c r="X1048" s="1"/>
      <c r="Y1048" s="1"/>
      <c r="Z1048" s="1"/>
    </row>
    <row r="1049" spans="1:26" ht="18.600000000000001" hidden="1" x14ac:dyDescent="0.25">
      <c r="A1049" s="321" t="s">
        <v>390</v>
      </c>
      <c r="B1049" s="321" t="s">
        <v>104</v>
      </c>
      <c r="C1049" s="318" t="s">
        <v>41</v>
      </c>
      <c r="D1049">
        <v>18130</v>
      </c>
      <c r="E1049" s="143">
        <v>85000</v>
      </c>
      <c r="F1049" s="117">
        <v>1403</v>
      </c>
      <c r="G1049" s="321" t="s">
        <v>299</v>
      </c>
      <c r="H1049" s="144">
        <f>bargiri[[#This Row],[میزان بارگیری شده]]*bargiri[[#This Row],[فی]]</f>
        <v>1541050000</v>
      </c>
      <c r="I1049" s="321">
        <f>IF(year=bargiri[[#This Row],[سال]],1,0)</f>
        <v>0</v>
      </c>
      <c r="X1049" s="1"/>
      <c r="Y1049" s="1"/>
      <c r="Z1049" s="1"/>
    </row>
    <row r="1050" spans="1:26" ht="18.600000000000001" hidden="1" x14ac:dyDescent="0.25">
      <c r="A1050" s="321" t="s">
        <v>390</v>
      </c>
      <c r="B1050" s="321" t="s">
        <v>107</v>
      </c>
      <c r="C1050" s="318" t="s">
        <v>50</v>
      </c>
      <c r="D1050">
        <v>18650</v>
      </c>
      <c r="E1050" s="143">
        <v>70000</v>
      </c>
      <c r="F1050" s="117">
        <v>1403</v>
      </c>
      <c r="G1050" s="321" t="s">
        <v>299</v>
      </c>
      <c r="H1050" s="144">
        <f>bargiri[[#This Row],[میزان بارگیری شده]]*bargiri[[#This Row],[فی]]</f>
        <v>1305500000</v>
      </c>
      <c r="I1050" s="321">
        <f>IF(year=bargiri[[#This Row],[سال]],1,0)</f>
        <v>0</v>
      </c>
      <c r="X1050" s="1"/>
      <c r="Y1050" s="1"/>
      <c r="Z1050" s="1"/>
    </row>
    <row r="1051" spans="1:26" ht="18.600000000000001" hidden="1" x14ac:dyDescent="0.25">
      <c r="A1051" s="321" t="s">
        <v>391</v>
      </c>
      <c r="B1051" s="321" t="s">
        <v>116</v>
      </c>
      <c r="C1051" s="318" t="s">
        <v>77</v>
      </c>
      <c r="D1051">
        <v>15150</v>
      </c>
      <c r="E1051" s="143">
        <v>68500</v>
      </c>
      <c r="F1051" s="117">
        <v>1403</v>
      </c>
      <c r="G1051" s="321" t="s">
        <v>299</v>
      </c>
      <c r="H1051" s="144">
        <f>bargiri[[#This Row],[میزان بارگیری شده]]*bargiri[[#This Row],[فی]]</f>
        <v>1037775000</v>
      </c>
      <c r="I1051" s="321">
        <f>IF(year=bargiri[[#This Row],[سال]],1,0)</f>
        <v>0</v>
      </c>
      <c r="X1051" s="1"/>
      <c r="Y1051" s="1"/>
      <c r="Z1051" s="1"/>
    </row>
    <row r="1052" spans="1:26" ht="18.600000000000001" hidden="1" x14ac:dyDescent="0.25">
      <c r="A1052" s="321" t="s">
        <v>391</v>
      </c>
      <c r="B1052" s="321" t="s">
        <v>116</v>
      </c>
      <c r="C1052" s="318" t="s">
        <v>77</v>
      </c>
      <c r="D1052">
        <v>15430</v>
      </c>
      <c r="E1052" s="143">
        <v>68500</v>
      </c>
      <c r="F1052" s="117">
        <v>1403</v>
      </c>
      <c r="G1052" s="321" t="s">
        <v>299</v>
      </c>
      <c r="H1052" s="144">
        <f>bargiri[[#This Row],[میزان بارگیری شده]]*bargiri[[#This Row],[فی]]</f>
        <v>1056955000</v>
      </c>
      <c r="I1052" s="321">
        <f>IF(year=bargiri[[#This Row],[سال]],1,0)</f>
        <v>0</v>
      </c>
      <c r="X1052" s="1"/>
      <c r="Y1052" s="1"/>
      <c r="Z1052" s="1"/>
    </row>
    <row r="1053" spans="1:26" ht="18.600000000000001" hidden="1" x14ac:dyDescent="0.25">
      <c r="A1053" s="321" t="s">
        <v>391</v>
      </c>
      <c r="B1053" s="321" t="s">
        <v>102</v>
      </c>
      <c r="C1053" s="318" t="s">
        <v>25</v>
      </c>
      <c r="D1053">
        <v>11975</v>
      </c>
      <c r="E1053" s="143">
        <v>65000</v>
      </c>
      <c r="F1053" s="117">
        <v>1403</v>
      </c>
      <c r="G1053" s="321" t="s">
        <v>299</v>
      </c>
      <c r="H1053" s="144">
        <f>bargiri[[#This Row],[میزان بارگیری شده]]*bargiri[[#This Row],[فی]]</f>
        <v>778375000</v>
      </c>
      <c r="I1053" s="321">
        <f>IF(year=bargiri[[#This Row],[سال]],1,0)</f>
        <v>0</v>
      </c>
      <c r="X1053" s="1"/>
      <c r="Y1053" s="1"/>
      <c r="Z1053" s="1"/>
    </row>
    <row r="1054" spans="1:26" ht="18.600000000000001" hidden="1" x14ac:dyDescent="0.25">
      <c r="A1054" s="321" t="s">
        <v>391</v>
      </c>
      <c r="B1054" s="321" t="s">
        <v>98</v>
      </c>
      <c r="C1054" s="318" t="s">
        <v>10</v>
      </c>
      <c r="D1054">
        <v>21075</v>
      </c>
      <c r="E1054" s="143">
        <v>70000</v>
      </c>
      <c r="F1054" s="117">
        <v>1403</v>
      </c>
      <c r="G1054" s="321" t="s">
        <v>299</v>
      </c>
      <c r="H1054" s="144">
        <f>bargiri[[#This Row],[میزان بارگیری شده]]*bargiri[[#This Row],[فی]]</f>
        <v>1475250000</v>
      </c>
      <c r="I1054" s="321">
        <f>IF(year=bargiri[[#This Row],[سال]],1,0)</f>
        <v>0</v>
      </c>
      <c r="X1054" s="1"/>
      <c r="Y1054" s="1"/>
      <c r="Z1054" s="1"/>
    </row>
    <row r="1055" spans="1:26" ht="18.600000000000001" hidden="1" x14ac:dyDescent="0.25">
      <c r="A1055" s="321" t="s">
        <v>391</v>
      </c>
      <c r="B1055" s="321" t="s">
        <v>111</v>
      </c>
      <c r="C1055" s="318" t="s">
        <v>59</v>
      </c>
      <c r="D1055">
        <v>10025</v>
      </c>
      <c r="E1055" s="143">
        <v>80000</v>
      </c>
      <c r="F1055" s="117">
        <v>1403</v>
      </c>
      <c r="G1055" s="321" t="s">
        <v>299</v>
      </c>
      <c r="H1055" s="144">
        <f>bargiri[[#This Row],[میزان بارگیری شده]]*bargiri[[#This Row],[فی]]</f>
        <v>802000000</v>
      </c>
      <c r="I1055" s="321">
        <f>IF(year=bargiri[[#This Row],[سال]],1,0)</f>
        <v>0</v>
      </c>
      <c r="X1055" s="1"/>
      <c r="Y1055" s="1"/>
      <c r="Z1055" s="1"/>
    </row>
    <row r="1056" spans="1:26" ht="18.600000000000001" hidden="1" x14ac:dyDescent="0.25">
      <c r="A1056" s="321" t="s">
        <v>406</v>
      </c>
      <c r="B1056" s="321" t="s">
        <v>116</v>
      </c>
      <c r="C1056" s="318" t="s">
        <v>77</v>
      </c>
      <c r="D1056">
        <v>19680</v>
      </c>
      <c r="E1056" s="143">
        <v>68500</v>
      </c>
      <c r="F1056" s="117">
        <v>1403</v>
      </c>
      <c r="G1056" s="321" t="s">
        <v>299</v>
      </c>
      <c r="H1056" s="144">
        <f>bargiri[[#This Row],[میزان بارگیری شده]]*bargiri[[#This Row],[فی]]</f>
        <v>1348080000</v>
      </c>
      <c r="I1056" s="321">
        <f>IF(year=bargiri[[#This Row],[سال]],1,0)</f>
        <v>0</v>
      </c>
      <c r="X1056" s="1"/>
      <c r="Y1056" s="1"/>
      <c r="Z1056" s="1"/>
    </row>
    <row r="1057" spans="1:26" ht="18.600000000000001" hidden="1" x14ac:dyDescent="0.25">
      <c r="A1057" s="321" t="s">
        <v>406</v>
      </c>
      <c r="B1057" s="321" t="s">
        <v>116</v>
      </c>
      <c r="C1057" s="318" t="s">
        <v>77</v>
      </c>
      <c r="D1057">
        <v>20080</v>
      </c>
      <c r="E1057" s="143">
        <v>68500</v>
      </c>
      <c r="F1057" s="117">
        <v>1403</v>
      </c>
      <c r="G1057" s="321" t="s">
        <v>299</v>
      </c>
      <c r="H1057" s="144">
        <f>bargiri[[#This Row],[میزان بارگیری شده]]*bargiri[[#This Row],[فی]]</f>
        <v>1375480000</v>
      </c>
      <c r="I1057" s="321">
        <f>IF(year=bargiri[[#This Row],[سال]],1,0)</f>
        <v>0</v>
      </c>
      <c r="X1057" s="1"/>
      <c r="Y1057" s="1"/>
      <c r="Z1057" s="1"/>
    </row>
    <row r="1058" spans="1:26" ht="18.600000000000001" hidden="1" x14ac:dyDescent="0.25">
      <c r="A1058" s="321" t="s">
        <v>406</v>
      </c>
      <c r="B1058" s="321" t="s">
        <v>107</v>
      </c>
      <c r="C1058" s="318" t="s">
        <v>50</v>
      </c>
      <c r="D1058">
        <v>19190</v>
      </c>
      <c r="E1058" s="143">
        <v>70000</v>
      </c>
      <c r="F1058" s="117">
        <v>1403</v>
      </c>
      <c r="G1058" s="321" t="s">
        <v>299</v>
      </c>
      <c r="H1058" s="144">
        <f>bargiri[[#This Row],[میزان بارگیری شده]]*bargiri[[#This Row],[فی]]</f>
        <v>1343300000</v>
      </c>
      <c r="I1058" s="321">
        <f>IF(year=bargiri[[#This Row],[سال]],1,0)</f>
        <v>0</v>
      </c>
      <c r="X1058" s="1"/>
      <c r="Y1058" s="1"/>
      <c r="Z1058" s="1"/>
    </row>
    <row r="1059" spans="1:26" ht="18.600000000000001" hidden="1" x14ac:dyDescent="0.25">
      <c r="A1059" s="321" t="s">
        <v>392</v>
      </c>
      <c r="B1059" s="321" t="s">
        <v>110</v>
      </c>
      <c r="C1059" s="318" t="s">
        <v>57</v>
      </c>
      <c r="D1059">
        <v>10065</v>
      </c>
      <c r="E1059" s="143">
        <v>78000</v>
      </c>
      <c r="F1059" s="117">
        <v>1403</v>
      </c>
      <c r="G1059" s="321" t="s">
        <v>299</v>
      </c>
      <c r="H1059" s="144">
        <f>bargiri[[#This Row],[میزان بارگیری شده]]*bargiri[[#This Row],[فی]]</f>
        <v>785070000</v>
      </c>
      <c r="I1059" s="321">
        <f>IF(year=bargiri[[#This Row],[سال]],1,0)</f>
        <v>0</v>
      </c>
      <c r="X1059" s="1"/>
      <c r="Y1059" s="1"/>
      <c r="Z1059" s="1"/>
    </row>
    <row r="1060" spans="1:26" ht="18.600000000000001" hidden="1" x14ac:dyDescent="0.25">
      <c r="A1060" s="321" t="s">
        <v>392</v>
      </c>
      <c r="B1060" s="321" t="s">
        <v>116</v>
      </c>
      <c r="C1060" s="318" t="s">
        <v>77</v>
      </c>
      <c r="D1060">
        <v>20210</v>
      </c>
      <c r="E1060" s="143">
        <v>68500</v>
      </c>
      <c r="F1060" s="117">
        <v>1403</v>
      </c>
      <c r="G1060" s="321" t="s">
        <v>299</v>
      </c>
      <c r="H1060" s="144">
        <f>bargiri[[#This Row],[میزان بارگیری شده]]*bargiri[[#This Row],[فی]]</f>
        <v>1384385000</v>
      </c>
      <c r="I1060" s="321">
        <f>IF(year=bargiri[[#This Row],[سال]],1,0)</f>
        <v>0</v>
      </c>
      <c r="X1060" s="1"/>
      <c r="Y1060" s="1"/>
      <c r="Z1060" s="1"/>
    </row>
    <row r="1061" spans="1:26" ht="18.600000000000001" hidden="1" x14ac:dyDescent="0.25">
      <c r="A1061" s="321" t="s">
        <v>392</v>
      </c>
      <c r="B1061" s="321" t="s">
        <v>111</v>
      </c>
      <c r="C1061" s="318" t="s">
        <v>59</v>
      </c>
      <c r="D1061">
        <v>10050</v>
      </c>
      <c r="E1061" s="143">
        <v>80000</v>
      </c>
      <c r="F1061" s="117">
        <v>1403</v>
      </c>
      <c r="G1061" s="321" t="s">
        <v>299</v>
      </c>
      <c r="H1061" s="144">
        <f>bargiri[[#This Row],[میزان بارگیری شده]]*bargiri[[#This Row],[فی]]</f>
        <v>804000000</v>
      </c>
      <c r="I1061" s="321">
        <f>IF(year=bargiri[[#This Row],[سال]],1,0)</f>
        <v>0</v>
      </c>
      <c r="X1061" s="1"/>
      <c r="Y1061" s="1"/>
      <c r="Z1061" s="1"/>
    </row>
    <row r="1062" spans="1:26" ht="18.600000000000001" hidden="1" x14ac:dyDescent="0.25">
      <c r="A1062" s="321" t="s">
        <v>407</v>
      </c>
      <c r="B1062" s="321" t="s">
        <v>101</v>
      </c>
      <c r="C1062" s="318" t="s">
        <v>20</v>
      </c>
      <c r="D1062">
        <v>22845</v>
      </c>
      <c r="E1062" s="143">
        <v>68000</v>
      </c>
      <c r="F1062" s="117">
        <v>1403</v>
      </c>
      <c r="G1062" s="321" t="s">
        <v>299</v>
      </c>
      <c r="H1062" s="144">
        <f>bargiri[[#This Row],[میزان بارگیری شده]]*bargiri[[#This Row],[فی]]</f>
        <v>1553460000</v>
      </c>
      <c r="I1062" s="321">
        <f>IF(year=bargiri[[#This Row],[سال]],1,0)</f>
        <v>0</v>
      </c>
      <c r="X1062" s="1"/>
      <c r="Y1062" s="1"/>
      <c r="Z1062" s="1"/>
    </row>
    <row r="1063" spans="1:26" ht="18.600000000000001" hidden="1" x14ac:dyDescent="0.25">
      <c r="A1063" s="321" t="s">
        <v>408</v>
      </c>
      <c r="B1063" s="321" t="s">
        <v>107</v>
      </c>
      <c r="C1063" s="318" t="s">
        <v>50</v>
      </c>
      <c r="D1063">
        <v>19260</v>
      </c>
      <c r="E1063" s="143">
        <v>70000</v>
      </c>
      <c r="F1063" s="117">
        <v>1403</v>
      </c>
      <c r="G1063" s="321" t="s">
        <v>299</v>
      </c>
      <c r="H1063" s="144">
        <f>bargiri[[#This Row],[میزان بارگیری شده]]*bargiri[[#This Row],[فی]]</f>
        <v>1348200000</v>
      </c>
      <c r="I1063" s="321">
        <f>IF(year=bargiri[[#This Row],[سال]],1,0)</f>
        <v>0</v>
      </c>
      <c r="X1063" s="1"/>
      <c r="Y1063" s="1"/>
      <c r="Z1063" s="1"/>
    </row>
    <row r="1064" spans="1:26" ht="18.600000000000001" hidden="1" x14ac:dyDescent="0.25">
      <c r="A1064" s="321" t="s">
        <v>393</v>
      </c>
      <c r="B1064" s="321" t="s">
        <v>106</v>
      </c>
      <c r="C1064" s="318" t="s">
        <v>48</v>
      </c>
      <c r="D1064">
        <v>11255</v>
      </c>
      <c r="E1064" s="143">
        <v>65000</v>
      </c>
      <c r="F1064" s="117">
        <v>1403</v>
      </c>
      <c r="G1064" s="321" t="s">
        <v>299</v>
      </c>
      <c r="H1064" s="144">
        <f>bargiri[[#This Row],[میزان بارگیری شده]]*bargiri[[#This Row],[فی]]</f>
        <v>731575000</v>
      </c>
      <c r="I1064" s="321">
        <f>IF(year=bargiri[[#This Row],[سال]],1,0)</f>
        <v>0</v>
      </c>
      <c r="X1064" s="1"/>
      <c r="Y1064" s="1"/>
      <c r="Z1064" s="1"/>
    </row>
    <row r="1065" spans="1:26" ht="18.600000000000001" hidden="1" x14ac:dyDescent="0.25">
      <c r="A1065" s="321" t="s">
        <v>393</v>
      </c>
      <c r="B1065" s="321" t="s">
        <v>102</v>
      </c>
      <c r="C1065" s="318" t="s">
        <v>25</v>
      </c>
      <c r="D1065">
        <v>11920</v>
      </c>
      <c r="E1065" s="143">
        <v>65000</v>
      </c>
      <c r="F1065" s="117">
        <v>1403</v>
      </c>
      <c r="G1065" s="321" t="s">
        <v>299</v>
      </c>
      <c r="H1065" s="144">
        <f>bargiri[[#This Row],[میزان بارگیری شده]]*bargiri[[#This Row],[فی]]</f>
        <v>774800000</v>
      </c>
      <c r="I1065" s="321">
        <f>IF(year=bargiri[[#This Row],[سال]],1,0)</f>
        <v>0</v>
      </c>
      <c r="X1065" s="1"/>
      <c r="Y1065" s="1"/>
      <c r="Z1065" s="1"/>
    </row>
    <row r="1066" spans="1:26" ht="18.600000000000001" hidden="1" x14ac:dyDescent="0.25">
      <c r="A1066" s="321" t="s">
        <v>393</v>
      </c>
      <c r="B1066" s="321" t="s">
        <v>106</v>
      </c>
      <c r="C1066" s="318" t="s">
        <v>48</v>
      </c>
      <c r="D1066">
        <v>20350</v>
      </c>
      <c r="E1066" s="143">
        <v>65000</v>
      </c>
      <c r="F1066" s="117">
        <v>1403</v>
      </c>
      <c r="G1066" s="321" t="s">
        <v>299</v>
      </c>
      <c r="H1066" s="144">
        <f>bargiri[[#This Row],[میزان بارگیری شده]]*bargiri[[#This Row],[فی]]</f>
        <v>1322750000</v>
      </c>
      <c r="I1066" s="321">
        <f>IF(year=bargiri[[#This Row],[سال]],1,0)</f>
        <v>0</v>
      </c>
      <c r="X1066" s="1"/>
      <c r="Y1066" s="1"/>
      <c r="Z1066" s="1"/>
    </row>
    <row r="1067" spans="1:26" ht="18.600000000000001" hidden="1" x14ac:dyDescent="0.25">
      <c r="A1067" s="321" t="s">
        <v>174</v>
      </c>
      <c r="B1067" s="321" t="s">
        <v>110</v>
      </c>
      <c r="C1067" s="318" t="s">
        <v>57</v>
      </c>
      <c r="D1067">
        <v>20245</v>
      </c>
      <c r="E1067" s="143">
        <v>78000</v>
      </c>
      <c r="F1067" s="117">
        <v>1403</v>
      </c>
      <c r="G1067" s="321" t="s">
        <v>299</v>
      </c>
      <c r="H1067" s="144">
        <f>bargiri[[#This Row],[میزان بارگیری شده]]*bargiri[[#This Row],[فی]]</f>
        <v>1579110000</v>
      </c>
      <c r="I1067" s="321">
        <f>IF(year=bargiri[[#This Row],[سال]],1,0)</f>
        <v>0</v>
      </c>
      <c r="X1067" s="1"/>
      <c r="Y1067" s="1"/>
      <c r="Z1067" s="1"/>
    </row>
    <row r="1068" spans="1:26" ht="18.600000000000001" hidden="1" x14ac:dyDescent="0.25">
      <c r="A1068" s="321" t="s">
        <v>174</v>
      </c>
      <c r="B1068" s="321" t="s">
        <v>116</v>
      </c>
      <c r="C1068" s="318" t="s">
        <v>77</v>
      </c>
      <c r="D1068">
        <v>20180</v>
      </c>
      <c r="E1068" s="143">
        <v>68500</v>
      </c>
      <c r="F1068" s="117">
        <v>1403</v>
      </c>
      <c r="G1068" s="321" t="s">
        <v>299</v>
      </c>
      <c r="H1068" s="144">
        <f>bargiri[[#This Row],[میزان بارگیری شده]]*bargiri[[#This Row],[فی]]</f>
        <v>1382330000</v>
      </c>
      <c r="I1068" s="321">
        <f>IF(year=bargiri[[#This Row],[سال]],1,0)</f>
        <v>0</v>
      </c>
      <c r="X1068" s="1"/>
      <c r="Y1068" s="1"/>
      <c r="Z1068" s="1"/>
    </row>
    <row r="1069" spans="1:26" ht="18.600000000000001" hidden="1" x14ac:dyDescent="0.25">
      <c r="A1069" s="321" t="s">
        <v>174</v>
      </c>
      <c r="B1069" s="321" t="s">
        <v>107</v>
      </c>
      <c r="C1069" s="318" t="s">
        <v>50</v>
      </c>
      <c r="D1069">
        <v>19175</v>
      </c>
      <c r="E1069" s="143">
        <v>70000</v>
      </c>
      <c r="F1069" s="117">
        <v>1403</v>
      </c>
      <c r="G1069" s="321" t="s">
        <v>299</v>
      </c>
      <c r="H1069" s="144">
        <f>bargiri[[#This Row],[میزان بارگیری شده]]*bargiri[[#This Row],[فی]]</f>
        <v>1342250000</v>
      </c>
      <c r="I1069" s="321">
        <f>IF(year=bargiri[[#This Row],[سال]],1,0)</f>
        <v>0</v>
      </c>
      <c r="X1069" s="1"/>
      <c r="Y1069" s="1"/>
      <c r="Z1069" s="1"/>
    </row>
    <row r="1070" spans="1:26" ht="18.600000000000001" hidden="1" x14ac:dyDescent="0.25">
      <c r="A1070" s="321" t="s">
        <v>174</v>
      </c>
      <c r="B1070" s="321" t="s">
        <v>113</v>
      </c>
      <c r="C1070" s="318" t="s">
        <v>61</v>
      </c>
      <c r="D1070">
        <v>10040</v>
      </c>
      <c r="E1070" s="143">
        <v>75000</v>
      </c>
      <c r="F1070" s="117">
        <v>1403</v>
      </c>
      <c r="G1070" s="321" t="s">
        <v>299</v>
      </c>
      <c r="H1070" s="144">
        <f>bargiri[[#This Row],[میزان بارگیری شده]]*bargiri[[#This Row],[فی]]</f>
        <v>753000000</v>
      </c>
      <c r="I1070" s="321">
        <f>IF(year=bargiri[[#This Row],[سال]],1,0)</f>
        <v>0</v>
      </c>
      <c r="X1070" s="1"/>
      <c r="Y1070" s="1"/>
      <c r="Z1070" s="1"/>
    </row>
    <row r="1071" spans="1:26" ht="18.600000000000001" hidden="1" x14ac:dyDescent="0.25">
      <c r="A1071" s="321" t="s">
        <v>409</v>
      </c>
      <c r="B1071" s="321" t="s">
        <v>117</v>
      </c>
      <c r="C1071" s="318" t="s">
        <v>82</v>
      </c>
      <c r="D1071">
        <v>20065</v>
      </c>
      <c r="E1071" s="143">
        <v>70000</v>
      </c>
      <c r="F1071" s="117">
        <v>1403</v>
      </c>
      <c r="G1071" s="321" t="s">
        <v>299</v>
      </c>
      <c r="H1071" s="144">
        <f>bargiri[[#This Row],[میزان بارگیری شده]]*bargiri[[#This Row],[فی]]</f>
        <v>1404550000</v>
      </c>
      <c r="I1071" s="321">
        <f>IF(year=bargiri[[#This Row],[سال]],1,0)</f>
        <v>0</v>
      </c>
      <c r="X1071" s="1"/>
      <c r="Y1071" s="1"/>
      <c r="Z1071" s="1"/>
    </row>
    <row r="1072" spans="1:26" ht="18.600000000000001" hidden="1" x14ac:dyDescent="0.25">
      <c r="A1072" s="321" t="s">
        <v>409</v>
      </c>
      <c r="B1072" s="321" t="s">
        <v>113</v>
      </c>
      <c r="C1072" s="318" t="s">
        <v>61</v>
      </c>
      <c r="D1072">
        <v>21020</v>
      </c>
      <c r="E1072" s="143">
        <v>75000</v>
      </c>
      <c r="F1072" s="117">
        <v>1403</v>
      </c>
      <c r="G1072" s="321" t="s">
        <v>299</v>
      </c>
      <c r="H1072" s="144">
        <f>bargiri[[#This Row],[میزان بارگیری شده]]*bargiri[[#This Row],[فی]]</f>
        <v>1576500000</v>
      </c>
      <c r="I1072" s="321">
        <f>IF(year=bargiri[[#This Row],[سال]],1,0)</f>
        <v>0</v>
      </c>
      <c r="X1072" s="1"/>
      <c r="Y1072" s="1"/>
      <c r="Z1072" s="1"/>
    </row>
    <row r="1073" spans="1:26" ht="18.600000000000001" hidden="1" x14ac:dyDescent="0.25">
      <c r="A1073" s="321" t="s">
        <v>213</v>
      </c>
      <c r="B1073" s="321" t="s">
        <v>106</v>
      </c>
      <c r="C1073" s="318" t="s">
        <v>48</v>
      </c>
      <c r="D1073">
        <v>16205</v>
      </c>
      <c r="E1073" s="143">
        <v>65000</v>
      </c>
      <c r="F1073" s="117">
        <v>1403</v>
      </c>
      <c r="G1073" s="321" t="s">
        <v>299</v>
      </c>
      <c r="H1073" s="144">
        <f>bargiri[[#This Row],[میزان بارگیری شده]]*bargiri[[#This Row],[فی]]</f>
        <v>1053325000</v>
      </c>
      <c r="I1073" s="321">
        <f>IF(year=bargiri[[#This Row],[سال]],1,0)</f>
        <v>0</v>
      </c>
      <c r="X1073" s="1"/>
      <c r="Y1073" s="1"/>
      <c r="Z1073" s="1"/>
    </row>
    <row r="1074" spans="1:26" ht="18.600000000000001" hidden="1" x14ac:dyDescent="0.25">
      <c r="A1074" s="321" t="s">
        <v>213</v>
      </c>
      <c r="B1074" s="321" t="s">
        <v>113</v>
      </c>
      <c r="C1074" s="318" t="s">
        <v>61</v>
      </c>
      <c r="D1074">
        <v>20925</v>
      </c>
      <c r="E1074" s="143">
        <v>75000</v>
      </c>
      <c r="F1074" s="117">
        <v>1403</v>
      </c>
      <c r="G1074" s="321" t="s">
        <v>299</v>
      </c>
      <c r="H1074" s="144">
        <f>bargiri[[#This Row],[میزان بارگیری شده]]*bargiri[[#This Row],[فی]]</f>
        <v>1569375000</v>
      </c>
      <c r="I1074" s="321">
        <f>IF(year=bargiri[[#This Row],[سال]],1,0)</f>
        <v>0</v>
      </c>
      <c r="X1074" s="1"/>
      <c r="Y1074" s="1"/>
      <c r="Z1074" s="1"/>
    </row>
    <row r="1075" spans="1:26" ht="18.600000000000001" hidden="1" x14ac:dyDescent="0.25">
      <c r="A1075" s="321" t="s">
        <v>213</v>
      </c>
      <c r="B1075" s="321" t="s">
        <v>106</v>
      </c>
      <c r="C1075" s="318" t="s">
        <v>48</v>
      </c>
      <c r="D1075">
        <v>17235</v>
      </c>
      <c r="E1075" s="143">
        <v>65000</v>
      </c>
      <c r="F1075" s="117">
        <v>1403</v>
      </c>
      <c r="G1075" s="321" t="s">
        <v>299</v>
      </c>
      <c r="H1075" s="144">
        <f>bargiri[[#This Row],[میزان بارگیری شده]]*bargiri[[#This Row],[فی]]</f>
        <v>1120275000</v>
      </c>
      <c r="I1075" s="321">
        <f>IF(year=bargiri[[#This Row],[سال]],1,0)</f>
        <v>0</v>
      </c>
      <c r="X1075" s="1"/>
      <c r="Y1075" s="1"/>
      <c r="Z1075" s="1"/>
    </row>
    <row r="1076" spans="1:26" ht="18.600000000000001" hidden="1" x14ac:dyDescent="0.25">
      <c r="A1076" s="321" t="s">
        <v>213</v>
      </c>
      <c r="B1076" s="321" t="s">
        <v>107</v>
      </c>
      <c r="C1076" s="318" t="s">
        <v>50</v>
      </c>
      <c r="D1076">
        <v>19265</v>
      </c>
      <c r="E1076" s="143">
        <v>70000</v>
      </c>
      <c r="F1076" s="117">
        <v>1403</v>
      </c>
      <c r="G1076" s="321" t="s">
        <v>299</v>
      </c>
      <c r="H1076" s="144">
        <f>bargiri[[#This Row],[میزان بارگیری شده]]*bargiri[[#This Row],[فی]]</f>
        <v>1348550000</v>
      </c>
      <c r="I1076" s="321">
        <f>IF(year=bargiri[[#This Row],[سال]],1,0)</f>
        <v>0</v>
      </c>
      <c r="X1076" s="1"/>
      <c r="Y1076" s="1"/>
      <c r="Z1076" s="1"/>
    </row>
    <row r="1077" spans="1:26" ht="18.600000000000001" hidden="1" x14ac:dyDescent="0.25">
      <c r="A1077" s="321" t="s">
        <v>394</v>
      </c>
      <c r="B1077" s="321" t="s">
        <v>98</v>
      </c>
      <c r="C1077" s="318" t="s">
        <v>10</v>
      </c>
      <c r="D1077">
        <v>15240</v>
      </c>
      <c r="E1077" s="143">
        <v>70000</v>
      </c>
      <c r="F1077" s="117">
        <v>1403</v>
      </c>
      <c r="G1077" s="321" t="s">
        <v>299</v>
      </c>
      <c r="H1077" s="144">
        <f>bargiri[[#This Row],[میزان بارگیری شده]]*bargiri[[#This Row],[فی]]</f>
        <v>1066800000</v>
      </c>
      <c r="I1077" s="321">
        <f>IF(year=bargiri[[#This Row],[سال]],1,0)</f>
        <v>0</v>
      </c>
      <c r="X1077" s="1"/>
      <c r="Y1077" s="1"/>
      <c r="Z1077" s="1"/>
    </row>
    <row r="1078" spans="1:26" ht="18.600000000000001" hidden="1" x14ac:dyDescent="0.25">
      <c r="A1078" s="321" t="s">
        <v>410</v>
      </c>
      <c r="B1078" s="321" t="s">
        <v>99</v>
      </c>
      <c r="C1078" s="318" t="s">
        <v>13</v>
      </c>
      <c r="D1078">
        <v>19310</v>
      </c>
      <c r="E1078" s="143">
        <v>65000</v>
      </c>
      <c r="F1078" s="117">
        <v>1403</v>
      </c>
      <c r="G1078" s="321" t="s">
        <v>299</v>
      </c>
      <c r="H1078" s="144">
        <f>bargiri[[#This Row],[میزان بارگیری شده]]*bargiri[[#This Row],[فی]]</f>
        <v>1255150000</v>
      </c>
      <c r="I1078" s="321">
        <f>IF(year=bargiri[[#This Row],[سال]],1,0)</f>
        <v>0</v>
      </c>
      <c r="X1078" s="1"/>
      <c r="Y1078" s="1"/>
      <c r="Z1078" s="1"/>
    </row>
    <row r="1079" spans="1:26" ht="18.600000000000001" hidden="1" x14ac:dyDescent="0.25">
      <c r="A1079" s="321" t="s">
        <v>410</v>
      </c>
      <c r="B1079" s="321" t="s">
        <v>101</v>
      </c>
      <c r="C1079" s="318" t="s">
        <v>20</v>
      </c>
      <c r="D1079">
        <v>20130</v>
      </c>
      <c r="E1079" s="143">
        <v>68000</v>
      </c>
      <c r="F1079" s="117">
        <v>1403</v>
      </c>
      <c r="G1079" s="321" t="s">
        <v>299</v>
      </c>
      <c r="H1079" s="144">
        <f>bargiri[[#This Row],[میزان بارگیری شده]]*bargiri[[#This Row],[فی]]</f>
        <v>1368840000</v>
      </c>
      <c r="I1079" s="321">
        <f>IF(year=bargiri[[#This Row],[سال]],1,0)</f>
        <v>0</v>
      </c>
      <c r="X1079" s="1"/>
      <c r="Y1079" s="1"/>
      <c r="Z1079" s="1"/>
    </row>
    <row r="1080" spans="1:26" ht="18.600000000000001" hidden="1" x14ac:dyDescent="0.25">
      <c r="A1080" s="321" t="s">
        <v>411</v>
      </c>
      <c r="B1080" s="321" t="s">
        <v>107</v>
      </c>
      <c r="C1080" s="318" t="s">
        <v>50</v>
      </c>
      <c r="D1080">
        <v>19305</v>
      </c>
      <c r="E1080" s="143">
        <v>70000</v>
      </c>
      <c r="F1080" s="117">
        <v>1403</v>
      </c>
      <c r="G1080" s="321" t="s">
        <v>299</v>
      </c>
      <c r="H1080" s="144">
        <f>bargiri[[#This Row],[میزان بارگیری شده]]*bargiri[[#This Row],[فی]]</f>
        <v>1351350000</v>
      </c>
      <c r="I1080" s="321">
        <f>IF(year=bargiri[[#This Row],[سال]],1,0)</f>
        <v>0</v>
      </c>
      <c r="X1080" s="1"/>
      <c r="Y1080" s="1"/>
      <c r="Z1080" s="1"/>
    </row>
    <row r="1081" spans="1:26" ht="18.600000000000001" hidden="1" x14ac:dyDescent="0.25">
      <c r="A1081" s="321" t="s">
        <v>411</v>
      </c>
      <c r="B1081" s="321" t="s">
        <v>99</v>
      </c>
      <c r="C1081" s="318" t="s">
        <v>13</v>
      </c>
      <c r="D1081">
        <v>19800</v>
      </c>
      <c r="E1081" s="143">
        <v>65000</v>
      </c>
      <c r="F1081" s="117">
        <v>1403</v>
      </c>
      <c r="G1081" s="321" t="s">
        <v>299</v>
      </c>
      <c r="H1081" s="144">
        <f>bargiri[[#This Row],[میزان بارگیری شده]]*bargiri[[#This Row],[فی]]</f>
        <v>1287000000</v>
      </c>
      <c r="I1081" s="321">
        <f>IF(year=bargiri[[#This Row],[سال]],1,0)</f>
        <v>0</v>
      </c>
      <c r="X1081" s="1"/>
      <c r="Y1081" s="1"/>
      <c r="Z1081" s="1"/>
    </row>
    <row r="1082" spans="1:26" ht="18.600000000000001" hidden="1" x14ac:dyDescent="0.25">
      <c r="A1082" s="321" t="s">
        <v>412</v>
      </c>
      <c r="B1082" s="321" t="s">
        <v>102</v>
      </c>
      <c r="C1082" s="318" t="s">
        <v>25</v>
      </c>
      <c r="D1082">
        <v>11715</v>
      </c>
      <c r="E1082" s="143">
        <v>65000</v>
      </c>
      <c r="F1082" s="117">
        <v>1403</v>
      </c>
      <c r="G1082" s="321" t="s">
        <v>299</v>
      </c>
      <c r="H1082" s="144">
        <f>bargiri[[#This Row],[میزان بارگیری شده]]*bargiri[[#This Row],[فی]]</f>
        <v>761475000</v>
      </c>
      <c r="I1082" s="321">
        <f>IF(year=bargiri[[#This Row],[سال]],1,0)</f>
        <v>0</v>
      </c>
      <c r="X1082" s="1"/>
      <c r="Y1082" s="1"/>
      <c r="Z1082" s="1"/>
    </row>
    <row r="1083" spans="1:26" ht="18.600000000000001" hidden="1" x14ac:dyDescent="0.25">
      <c r="A1083" s="321" t="s">
        <v>412</v>
      </c>
      <c r="B1083" s="321" t="s">
        <v>106</v>
      </c>
      <c r="C1083" s="318" t="s">
        <v>48</v>
      </c>
      <c r="D1083">
        <v>20305</v>
      </c>
      <c r="E1083" s="143">
        <v>65000</v>
      </c>
      <c r="F1083" s="117">
        <v>1403</v>
      </c>
      <c r="G1083" s="321" t="s">
        <v>299</v>
      </c>
      <c r="H1083" s="144">
        <f>bargiri[[#This Row],[میزان بارگیری شده]]*bargiri[[#This Row],[فی]]</f>
        <v>1319825000</v>
      </c>
      <c r="I1083" s="321">
        <f>IF(year=bargiri[[#This Row],[سال]],1,0)</f>
        <v>0</v>
      </c>
      <c r="X1083" s="1"/>
      <c r="Y1083" s="1"/>
      <c r="Z1083" s="1"/>
    </row>
    <row r="1084" spans="1:26" ht="18.600000000000001" hidden="1" x14ac:dyDescent="0.25">
      <c r="A1084" s="321" t="s">
        <v>412</v>
      </c>
      <c r="B1084" s="321" t="s">
        <v>104</v>
      </c>
      <c r="C1084" s="318" t="s">
        <v>41</v>
      </c>
      <c r="D1084">
        <v>18295</v>
      </c>
      <c r="E1084" s="143">
        <v>85000</v>
      </c>
      <c r="F1084" s="117">
        <v>1403</v>
      </c>
      <c r="G1084" s="321" t="s">
        <v>299</v>
      </c>
      <c r="H1084" s="144">
        <f>bargiri[[#This Row],[میزان بارگیری شده]]*bargiri[[#This Row],[فی]]</f>
        <v>1555075000</v>
      </c>
      <c r="I1084" s="321">
        <f>IF(year=bargiri[[#This Row],[سال]],1,0)</f>
        <v>0</v>
      </c>
      <c r="X1084" s="1"/>
      <c r="Y1084" s="1"/>
      <c r="Z1084" s="1"/>
    </row>
    <row r="1085" spans="1:26" ht="18.600000000000001" hidden="1" x14ac:dyDescent="0.25">
      <c r="A1085" s="321" t="s">
        <v>413</v>
      </c>
      <c r="B1085" s="321" t="s">
        <v>107</v>
      </c>
      <c r="C1085" s="318" t="s">
        <v>50</v>
      </c>
      <c r="D1085">
        <v>19150</v>
      </c>
      <c r="E1085" s="143">
        <v>70000</v>
      </c>
      <c r="F1085" s="117">
        <v>1403</v>
      </c>
      <c r="G1085" s="321" t="s">
        <v>300</v>
      </c>
      <c r="H1085" s="144">
        <f>bargiri[[#This Row],[میزان بارگیری شده]]*bargiri[[#This Row],[فی]]</f>
        <v>1340500000</v>
      </c>
      <c r="I1085" s="321">
        <f>IF(year=bargiri[[#This Row],[سال]],1,0)</f>
        <v>0</v>
      </c>
      <c r="X1085" s="1"/>
      <c r="Y1085" s="1"/>
      <c r="Z1085" s="1"/>
    </row>
    <row r="1086" spans="1:26" ht="18.600000000000001" hidden="1" x14ac:dyDescent="0.25">
      <c r="A1086" s="321" t="s">
        <v>414</v>
      </c>
      <c r="B1086" s="321" t="s">
        <v>98</v>
      </c>
      <c r="C1086" s="318" t="s">
        <v>10</v>
      </c>
      <c r="D1086">
        <v>22865</v>
      </c>
      <c r="E1086" s="143">
        <v>70000</v>
      </c>
      <c r="F1086" s="117">
        <v>1403</v>
      </c>
      <c r="G1086" s="321" t="s">
        <v>300</v>
      </c>
      <c r="H1086" s="144">
        <f>bargiri[[#This Row],[میزان بارگیری شده]]*bargiri[[#This Row],[فی]]</f>
        <v>1600550000</v>
      </c>
      <c r="I1086" s="321">
        <f>IF(year=bargiri[[#This Row],[سال]],1,0)</f>
        <v>0</v>
      </c>
      <c r="X1086" s="1"/>
      <c r="Y1086" s="1"/>
      <c r="Z1086" s="1"/>
    </row>
    <row r="1087" spans="1:26" ht="18.600000000000001" hidden="1" x14ac:dyDescent="0.25">
      <c r="A1087" s="321" t="s">
        <v>414</v>
      </c>
      <c r="B1087" s="321" t="s">
        <v>99</v>
      </c>
      <c r="C1087" s="318" t="s">
        <v>13</v>
      </c>
      <c r="D1087">
        <v>20370</v>
      </c>
      <c r="E1087" s="143">
        <v>65000</v>
      </c>
      <c r="F1087" s="117">
        <v>1403</v>
      </c>
      <c r="G1087" s="321" t="s">
        <v>300</v>
      </c>
      <c r="H1087" s="144">
        <f>bargiri[[#This Row],[میزان بارگیری شده]]*bargiri[[#This Row],[فی]]</f>
        <v>1324050000</v>
      </c>
      <c r="I1087" s="321">
        <f>IF(year=bargiri[[#This Row],[سال]],1,0)</f>
        <v>0</v>
      </c>
      <c r="X1087" s="1"/>
      <c r="Y1087" s="1"/>
      <c r="Z1087" s="1"/>
    </row>
    <row r="1088" spans="1:26" ht="18.600000000000001" hidden="1" x14ac:dyDescent="0.25">
      <c r="A1088" s="321" t="s">
        <v>178</v>
      </c>
      <c r="B1088" s="321" t="s">
        <v>99</v>
      </c>
      <c r="C1088" s="318" t="s">
        <v>13</v>
      </c>
      <c r="D1088">
        <v>19745</v>
      </c>
      <c r="E1088" s="143">
        <v>65000</v>
      </c>
      <c r="F1088" s="117">
        <v>1403</v>
      </c>
      <c r="G1088" s="321" t="s">
        <v>300</v>
      </c>
      <c r="H1088" s="144">
        <f>bargiri[[#This Row],[میزان بارگیری شده]]*bargiri[[#This Row],[فی]]</f>
        <v>1283425000</v>
      </c>
      <c r="I1088" s="321">
        <f>IF(year=bargiri[[#This Row],[سال]],1,0)</f>
        <v>0</v>
      </c>
      <c r="X1088" s="1"/>
      <c r="Y1088" s="1"/>
      <c r="Z1088" s="1"/>
    </row>
    <row r="1089" spans="1:26" ht="18.600000000000001" hidden="1" x14ac:dyDescent="0.25">
      <c r="A1089" s="321" t="s">
        <v>178</v>
      </c>
      <c r="B1089" s="321" t="s">
        <v>107</v>
      </c>
      <c r="C1089" s="318" t="s">
        <v>50</v>
      </c>
      <c r="D1089">
        <v>19190</v>
      </c>
      <c r="E1089" s="143">
        <v>70000</v>
      </c>
      <c r="F1089" s="117">
        <v>1403</v>
      </c>
      <c r="G1089" s="321" t="s">
        <v>300</v>
      </c>
      <c r="H1089" s="144">
        <f>bargiri[[#This Row],[میزان بارگیری شده]]*bargiri[[#This Row],[فی]]</f>
        <v>1343300000</v>
      </c>
      <c r="I1089" s="321">
        <f>IF(year=bargiri[[#This Row],[سال]],1,0)</f>
        <v>0</v>
      </c>
      <c r="X1089" s="1"/>
      <c r="Y1089" s="1"/>
      <c r="Z1089" s="1"/>
    </row>
    <row r="1090" spans="1:26" ht="18.600000000000001" hidden="1" x14ac:dyDescent="0.25">
      <c r="A1090" s="321" t="s">
        <v>415</v>
      </c>
      <c r="B1090" s="321" t="s">
        <v>111</v>
      </c>
      <c r="C1090" s="318" t="s">
        <v>59</v>
      </c>
      <c r="D1090">
        <v>9905</v>
      </c>
      <c r="E1090" s="143">
        <v>80000</v>
      </c>
      <c r="F1090" s="117">
        <v>1403</v>
      </c>
      <c r="G1090" s="321" t="s">
        <v>300</v>
      </c>
      <c r="H1090" s="144">
        <f>bargiri[[#This Row],[میزان بارگیری شده]]*bargiri[[#This Row],[فی]]</f>
        <v>792400000</v>
      </c>
      <c r="I1090" s="321">
        <f>IF(year=bargiri[[#This Row],[سال]],1,0)</f>
        <v>0</v>
      </c>
      <c r="X1090" s="1"/>
      <c r="Y1090" s="1"/>
      <c r="Z1090" s="1"/>
    </row>
    <row r="1091" spans="1:26" ht="18.600000000000001" hidden="1" x14ac:dyDescent="0.25">
      <c r="A1091" s="321" t="s">
        <v>196</v>
      </c>
      <c r="B1091" s="321" t="s">
        <v>102</v>
      </c>
      <c r="C1091" s="318" t="s">
        <v>26</v>
      </c>
      <c r="D1091">
        <v>6340</v>
      </c>
      <c r="E1091" s="143">
        <v>70000</v>
      </c>
      <c r="F1091" s="117">
        <v>1403</v>
      </c>
      <c r="G1091" s="321" t="s">
        <v>300</v>
      </c>
      <c r="H1091" s="144">
        <f>bargiri[[#This Row],[میزان بارگیری شده]]*bargiri[[#This Row],[فی]]</f>
        <v>443800000</v>
      </c>
      <c r="I1091" s="321">
        <f>IF(year=bargiri[[#This Row],[سال]],1,0)</f>
        <v>0</v>
      </c>
      <c r="X1091" s="1"/>
      <c r="Y1091" s="1"/>
      <c r="Z1091" s="1"/>
    </row>
    <row r="1092" spans="1:26" ht="18.600000000000001" hidden="1" x14ac:dyDescent="0.25">
      <c r="A1092" s="321" t="s">
        <v>196</v>
      </c>
      <c r="B1092" s="321" t="s">
        <v>102</v>
      </c>
      <c r="C1092" s="318" t="s">
        <v>25</v>
      </c>
      <c r="D1092">
        <v>5575</v>
      </c>
      <c r="E1092" s="143">
        <v>65000</v>
      </c>
      <c r="F1092" s="117">
        <v>1403</v>
      </c>
      <c r="G1092" s="321" t="s">
        <v>300</v>
      </c>
      <c r="H1092" s="144">
        <f>bargiri[[#This Row],[میزان بارگیری شده]]*bargiri[[#This Row],[فی]]</f>
        <v>362375000</v>
      </c>
      <c r="I1092" s="321">
        <f>IF(year=bargiri[[#This Row],[سال]],1,0)</f>
        <v>0</v>
      </c>
      <c r="X1092" s="1"/>
      <c r="Y1092" s="1"/>
      <c r="Z1092" s="1"/>
    </row>
    <row r="1093" spans="1:26" ht="18.600000000000001" hidden="1" x14ac:dyDescent="0.25">
      <c r="A1093" s="321" t="s">
        <v>196</v>
      </c>
      <c r="B1093" s="321" t="s">
        <v>107</v>
      </c>
      <c r="C1093" s="318" t="s">
        <v>50</v>
      </c>
      <c r="D1093">
        <v>19220</v>
      </c>
      <c r="E1093" s="143">
        <v>70000</v>
      </c>
      <c r="F1093" s="117">
        <v>1403</v>
      </c>
      <c r="G1093" s="321" t="s">
        <v>300</v>
      </c>
      <c r="H1093" s="144">
        <f>bargiri[[#This Row],[میزان بارگیری شده]]*bargiri[[#This Row],[فی]]</f>
        <v>1345400000</v>
      </c>
      <c r="I1093" s="321">
        <f>IF(year=bargiri[[#This Row],[سال]],1,0)</f>
        <v>0</v>
      </c>
      <c r="X1093" s="1"/>
      <c r="Y1093" s="1"/>
      <c r="Z1093" s="1"/>
    </row>
    <row r="1094" spans="1:26" ht="18.600000000000001" hidden="1" x14ac:dyDescent="0.25">
      <c r="A1094" s="321" t="s">
        <v>196</v>
      </c>
      <c r="B1094" s="321" t="s">
        <v>117</v>
      </c>
      <c r="C1094" s="318" t="s">
        <v>82</v>
      </c>
      <c r="D1094">
        <v>20680</v>
      </c>
      <c r="E1094" s="143">
        <v>70000</v>
      </c>
      <c r="F1094" s="117">
        <v>1403</v>
      </c>
      <c r="G1094" s="321" t="s">
        <v>300</v>
      </c>
      <c r="H1094" s="144">
        <f>bargiri[[#This Row],[میزان بارگیری شده]]*bargiri[[#This Row],[فی]]</f>
        <v>1447600000</v>
      </c>
      <c r="I1094" s="321">
        <f>IF(year=bargiri[[#This Row],[سال]],1,0)</f>
        <v>0</v>
      </c>
      <c r="X1094" s="1"/>
      <c r="Y1094" s="1"/>
      <c r="Z1094" s="1"/>
    </row>
    <row r="1095" spans="1:26" ht="18.600000000000001" hidden="1" x14ac:dyDescent="0.25">
      <c r="A1095" s="321" t="s">
        <v>416</v>
      </c>
      <c r="B1095" s="321" t="s">
        <v>99</v>
      </c>
      <c r="C1095" s="318" t="s">
        <v>13</v>
      </c>
      <c r="D1095">
        <v>18720</v>
      </c>
      <c r="E1095" s="143">
        <v>65000</v>
      </c>
      <c r="F1095" s="117">
        <v>1403</v>
      </c>
      <c r="G1095" s="321" t="s">
        <v>300</v>
      </c>
      <c r="H1095" s="144">
        <f>bargiri[[#This Row],[میزان بارگیری شده]]*bargiri[[#This Row],[فی]]</f>
        <v>1216800000</v>
      </c>
      <c r="I1095" s="321">
        <f>IF(year=bargiri[[#This Row],[سال]],1,0)</f>
        <v>0</v>
      </c>
      <c r="X1095" s="1"/>
      <c r="Y1095" s="1"/>
      <c r="Z1095" s="1"/>
    </row>
    <row r="1096" spans="1:26" ht="18.600000000000001" hidden="1" x14ac:dyDescent="0.25">
      <c r="A1096" s="321" t="s">
        <v>227</v>
      </c>
      <c r="B1096" s="321" t="s">
        <v>99</v>
      </c>
      <c r="C1096" s="318" t="s">
        <v>13</v>
      </c>
      <c r="D1096">
        <v>18615</v>
      </c>
      <c r="E1096" s="143">
        <v>65000</v>
      </c>
      <c r="F1096" s="117">
        <v>1403</v>
      </c>
      <c r="G1096" s="321" t="s">
        <v>300</v>
      </c>
      <c r="H1096" s="144">
        <f>bargiri[[#This Row],[میزان بارگیری شده]]*bargiri[[#This Row],[فی]]</f>
        <v>1209975000</v>
      </c>
      <c r="I1096" s="321">
        <f>IF(year=bargiri[[#This Row],[سال]],1,0)</f>
        <v>0</v>
      </c>
      <c r="X1096" s="1"/>
      <c r="Y1096" s="1"/>
      <c r="Z1096" s="1"/>
    </row>
    <row r="1097" spans="1:26" ht="18.600000000000001" hidden="1" x14ac:dyDescent="0.25">
      <c r="A1097" s="321" t="s">
        <v>227</v>
      </c>
      <c r="B1097" s="321" t="s">
        <v>119</v>
      </c>
      <c r="C1097" s="318" t="s">
        <v>87</v>
      </c>
      <c r="D1097">
        <v>9665</v>
      </c>
      <c r="E1097" s="143">
        <v>75000</v>
      </c>
      <c r="F1097" s="117">
        <v>1403</v>
      </c>
      <c r="G1097" s="321" t="s">
        <v>300</v>
      </c>
      <c r="H1097" s="144">
        <f>bargiri[[#This Row],[میزان بارگیری شده]]*bargiri[[#This Row],[فی]]</f>
        <v>724875000</v>
      </c>
      <c r="I1097" s="321">
        <f>IF(year=bargiri[[#This Row],[سال]],1,0)</f>
        <v>0</v>
      </c>
      <c r="X1097" s="1"/>
      <c r="Y1097" s="1"/>
      <c r="Z1097" s="1"/>
    </row>
    <row r="1098" spans="1:26" ht="18.600000000000001" hidden="1" x14ac:dyDescent="0.25">
      <c r="A1098" s="321" t="s">
        <v>227</v>
      </c>
      <c r="B1098" s="321" t="s">
        <v>119</v>
      </c>
      <c r="C1098" s="318" t="s">
        <v>86</v>
      </c>
      <c r="D1098">
        <v>10605</v>
      </c>
      <c r="E1098" s="143">
        <v>79301</v>
      </c>
      <c r="F1098" s="117">
        <v>1403</v>
      </c>
      <c r="G1098" s="321" t="s">
        <v>300</v>
      </c>
      <c r="H1098" s="144">
        <f>bargiri[[#This Row],[میزان بارگیری شده]]*bargiri[[#This Row],[فی]]</f>
        <v>840987105</v>
      </c>
      <c r="I1098" s="321">
        <f>IF(year=bargiri[[#This Row],[سال]],1,0)</f>
        <v>0</v>
      </c>
      <c r="X1098" s="1"/>
      <c r="Y1098" s="1"/>
      <c r="Z1098" s="1"/>
    </row>
    <row r="1099" spans="1:26" ht="18.600000000000001" hidden="1" x14ac:dyDescent="0.25">
      <c r="A1099" s="321" t="s">
        <v>227</v>
      </c>
      <c r="B1099" s="321" t="s">
        <v>107</v>
      </c>
      <c r="C1099" s="318" t="s">
        <v>50</v>
      </c>
      <c r="D1099">
        <v>19185</v>
      </c>
      <c r="E1099" s="143">
        <v>70000</v>
      </c>
      <c r="F1099" s="117">
        <v>1403</v>
      </c>
      <c r="G1099" s="321" t="s">
        <v>300</v>
      </c>
      <c r="H1099" s="144">
        <f>bargiri[[#This Row],[میزان بارگیری شده]]*bargiri[[#This Row],[فی]]</f>
        <v>1342950000</v>
      </c>
      <c r="I1099" s="321">
        <f>IF(year=bargiri[[#This Row],[سال]],1,0)</f>
        <v>0</v>
      </c>
      <c r="X1099" s="1"/>
      <c r="Y1099" s="1"/>
      <c r="Z1099" s="1"/>
    </row>
    <row r="1100" spans="1:26" ht="18.600000000000001" hidden="1" x14ac:dyDescent="0.25">
      <c r="A1100" s="321" t="s">
        <v>227</v>
      </c>
      <c r="B1100" s="321" t="s">
        <v>116</v>
      </c>
      <c r="C1100" s="318" t="s">
        <v>77</v>
      </c>
      <c r="D1100">
        <v>21270</v>
      </c>
      <c r="E1100" s="143">
        <v>68500</v>
      </c>
      <c r="F1100" s="117">
        <v>1403</v>
      </c>
      <c r="G1100" s="321" t="s">
        <v>300</v>
      </c>
      <c r="H1100" s="144">
        <f>bargiri[[#This Row],[میزان بارگیری شده]]*bargiri[[#This Row],[فی]]</f>
        <v>1456995000</v>
      </c>
      <c r="I1100" s="321">
        <f>IF(year=bargiri[[#This Row],[سال]],1,0)</f>
        <v>0</v>
      </c>
      <c r="X1100" s="1"/>
      <c r="Y1100" s="1"/>
      <c r="Z1100" s="1"/>
    </row>
    <row r="1101" spans="1:26" ht="18.600000000000001" hidden="1" x14ac:dyDescent="0.25">
      <c r="A1101" s="321" t="s">
        <v>164</v>
      </c>
      <c r="B1101" s="321" t="s">
        <v>116</v>
      </c>
      <c r="C1101" s="318" t="s">
        <v>77</v>
      </c>
      <c r="D1101">
        <v>20735</v>
      </c>
      <c r="E1101" s="143">
        <v>68500</v>
      </c>
      <c r="F1101" s="117">
        <v>1403</v>
      </c>
      <c r="G1101" s="321" t="s">
        <v>300</v>
      </c>
      <c r="H1101" s="144">
        <f>bargiri[[#This Row],[میزان بارگیری شده]]*bargiri[[#This Row],[فی]]</f>
        <v>1420347500</v>
      </c>
      <c r="I1101" s="321">
        <f>IF(year=bargiri[[#This Row],[سال]],1,0)</f>
        <v>0</v>
      </c>
      <c r="X1101" s="1"/>
      <c r="Y1101" s="1"/>
      <c r="Z1101" s="1"/>
    </row>
    <row r="1102" spans="1:26" ht="18.600000000000001" hidden="1" x14ac:dyDescent="0.25">
      <c r="A1102" s="321" t="s">
        <v>164</v>
      </c>
      <c r="B1102" s="321" t="s">
        <v>116</v>
      </c>
      <c r="C1102" s="318" t="s">
        <v>77</v>
      </c>
      <c r="D1102">
        <v>17295</v>
      </c>
      <c r="E1102" s="143">
        <v>68500</v>
      </c>
      <c r="F1102" s="117">
        <v>1403</v>
      </c>
      <c r="G1102" s="321" t="s">
        <v>300</v>
      </c>
      <c r="H1102" s="144">
        <f>bargiri[[#This Row],[میزان بارگیری شده]]*bargiri[[#This Row],[فی]]</f>
        <v>1184707500</v>
      </c>
      <c r="I1102" s="321">
        <f>IF(year=bargiri[[#This Row],[سال]],1,0)</f>
        <v>0</v>
      </c>
      <c r="X1102" s="1"/>
      <c r="Y1102" s="1"/>
      <c r="Z1102" s="1"/>
    </row>
    <row r="1103" spans="1:26" ht="18.600000000000001" hidden="1" x14ac:dyDescent="0.25">
      <c r="A1103" s="321" t="s">
        <v>417</v>
      </c>
      <c r="B1103" s="321" t="s">
        <v>116</v>
      </c>
      <c r="C1103" s="318" t="s">
        <v>76</v>
      </c>
      <c r="D1103">
        <v>20230</v>
      </c>
      <c r="E1103" s="143">
        <v>75000</v>
      </c>
      <c r="F1103" s="117">
        <v>1403</v>
      </c>
      <c r="G1103" s="321" t="s">
        <v>300</v>
      </c>
      <c r="H1103" s="144">
        <f>bargiri[[#This Row],[میزان بارگیری شده]]*bargiri[[#This Row],[فی]]</f>
        <v>1517250000</v>
      </c>
      <c r="I1103" s="321">
        <f>IF(year=bargiri[[#This Row],[سال]],1,0)</f>
        <v>0</v>
      </c>
      <c r="X1103" s="1"/>
      <c r="Y1103" s="1"/>
      <c r="Z1103" s="1"/>
    </row>
    <row r="1104" spans="1:26" ht="18.600000000000001" hidden="1" x14ac:dyDescent="0.25">
      <c r="A1104" s="321" t="s">
        <v>417</v>
      </c>
      <c r="B1104" s="321" t="s">
        <v>99</v>
      </c>
      <c r="C1104" s="318" t="s">
        <v>13</v>
      </c>
      <c r="D1104">
        <v>18725</v>
      </c>
      <c r="E1104" s="143">
        <v>65000</v>
      </c>
      <c r="F1104" s="117">
        <v>1403</v>
      </c>
      <c r="G1104" s="321" t="s">
        <v>300</v>
      </c>
      <c r="H1104" s="144">
        <f>bargiri[[#This Row],[میزان بارگیری شده]]*bargiri[[#This Row],[فی]]</f>
        <v>1217125000</v>
      </c>
      <c r="I1104" s="321">
        <f>IF(year=bargiri[[#This Row],[سال]],1,0)</f>
        <v>0</v>
      </c>
      <c r="X1104" s="1"/>
      <c r="Y1104" s="1"/>
      <c r="Z1104" s="1"/>
    </row>
    <row r="1105" spans="1:26" ht="18.600000000000001" hidden="1" x14ac:dyDescent="0.25">
      <c r="A1105" s="321" t="s">
        <v>221</v>
      </c>
      <c r="B1105" s="321" t="s">
        <v>116</v>
      </c>
      <c r="C1105" s="318" t="s">
        <v>76</v>
      </c>
      <c r="D1105">
        <v>19955</v>
      </c>
      <c r="E1105" s="143">
        <v>75000</v>
      </c>
      <c r="F1105" s="117">
        <v>1403</v>
      </c>
      <c r="G1105" s="321" t="s">
        <v>301</v>
      </c>
      <c r="H1105" s="144">
        <f>bargiri[[#This Row],[میزان بارگیری شده]]*bargiri[[#This Row],[فی]]</f>
        <v>1496625000</v>
      </c>
      <c r="I1105" s="321">
        <f>IF(year=bargiri[[#This Row],[سال]],1,0)</f>
        <v>0</v>
      </c>
      <c r="X1105" s="1"/>
      <c r="Y1105" s="1"/>
      <c r="Z1105" s="1"/>
    </row>
    <row r="1106" spans="1:26" ht="18.600000000000001" hidden="1" x14ac:dyDescent="0.25">
      <c r="A1106" s="321" t="s">
        <v>418</v>
      </c>
      <c r="B1106" s="321" t="s">
        <v>107</v>
      </c>
      <c r="C1106" s="318" t="s">
        <v>50</v>
      </c>
      <c r="D1106">
        <v>19240</v>
      </c>
      <c r="E1106" s="143">
        <v>70000</v>
      </c>
      <c r="F1106" s="117">
        <v>1403</v>
      </c>
      <c r="G1106" s="321" t="s">
        <v>300</v>
      </c>
      <c r="H1106" s="144">
        <f>bargiri[[#This Row],[میزان بارگیری شده]]*bargiri[[#This Row],[فی]]</f>
        <v>1346800000</v>
      </c>
      <c r="I1106" s="321">
        <f>IF(year=bargiri[[#This Row],[سال]],1,0)</f>
        <v>0</v>
      </c>
      <c r="X1106" s="1"/>
      <c r="Y1106" s="1"/>
      <c r="Z1106" s="1"/>
    </row>
    <row r="1107" spans="1:26" ht="18.600000000000001" hidden="1" x14ac:dyDescent="0.25">
      <c r="A1107" s="321" t="s">
        <v>187</v>
      </c>
      <c r="B1107" s="321" t="s">
        <v>98</v>
      </c>
      <c r="C1107" s="318" t="s">
        <v>10</v>
      </c>
      <c r="D1107">
        <v>23240</v>
      </c>
      <c r="E1107" s="143">
        <v>70000</v>
      </c>
      <c r="F1107" s="117">
        <v>1403</v>
      </c>
      <c r="G1107" s="321" t="s">
        <v>300</v>
      </c>
      <c r="H1107" s="144">
        <f>bargiri[[#This Row],[میزان بارگیری شده]]*bargiri[[#This Row],[فی]]</f>
        <v>1626800000</v>
      </c>
      <c r="I1107" s="321">
        <f>IF(year=bargiri[[#This Row],[سال]],1,0)</f>
        <v>0</v>
      </c>
      <c r="X1107" s="1"/>
      <c r="Y1107" s="1"/>
      <c r="Z1107" s="1"/>
    </row>
    <row r="1108" spans="1:26" ht="18.600000000000001" hidden="1" x14ac:dyDescent="0.25">
      <c r="A1108" s="321" t="s">
        <v>187</v>
      </c>
      <c r="B1108" s="321" t="s">
        <v>106</v>
      </c>
      <c r="C1108" s="318" t="s">
        <v>48</v>
      </c>
      <c r="D1108">
        <v>19720</v>
      </c>
      <c r="E1108" s="143">
        <v>65000</v>
      </c>
      <c r="F1108" s="117">
        <v>1403</v>
      </c>
      <c r="G1108" s="321" t="s">
        <v>300</v>
      </c>
      <c r="H1108" s="144">
        <f>bargiri[[#This Row],[میزان بارگیری شده]]*bargiri[[#This Row],[فی]]</f>
        <v>1281800000</v>
      </c>
      <c r="I1108" s="321">
        <f>IF(year=bargiri[[#This Row],[سال]],1,0)</f>
        <v>0</v>
      </c>
      <c r="X1108" s="1"/>
      <c r="Y1108" s="1"/>
      <c r="Z1108" s="1"/>
    </row>
    <row r="1109" spans="1:26" ht="18.600000000000001" hidden="1" x14ac:dyDescent="0.25">
      <c r="A1109" s="321" t="s">
        <v>187</v>
      </c>
      <c r="B1109" s="321" t="s">
        <v>102</v>
      </c>
      <c r="C1109" s="318" t="s">
        <v>26</v>
      </c>
      <c r="D1109">
        <v>11855</v>
      </c>
      <c r="E1109" s="143">
        <v>70000</v>
      </c>
      <c r="F1109" s="117">
        <v>1403</v>
      </c>
      <c r="G1109" s="321" t="s">
        <v>300</v>
      </c>
      <c r="H1109" s="144">
        <f>bargiri[[#This Row],[میزان بارگیری شده]]*bargiri[[#This Row],[فی]]</f>
        <v>829850000</v>
      </c>
      <c r="I1109" s="321">
        <f>IF(year=bargiri[[#This Row],[سال]],1,0)</f>
        <v>0</v>
      </c>
      <c r="X1109" s="1"/>
      <c r="Y1109" s="1"/>
      <c r="Z1109" s="1"/>
    </row>
    <row r="1110" spans="1:26" ht="18.600000000000001" hidden="1" x14ac:dyDescent="0.25">
      <c r="A1110" s="321" t="s">
        <v>187</v>
      </c>
      <c r="B1110" s="321" t="s">
        <v>108</v>
      </c>
      <c r="C1110" s="318" t="s">
        <v>53</v>
      </c>
      <c r="D1110">
        <v>20230</v>
      </c>
      <c r="E1110" s="143">
        <v>70000</v>
      </c>
      <c r="F1110" s="117">
        <v>1403</v>
      </c>
      <c r="G1110" s="321" t="s">
        <v>300</v>
      </c>
      <c r="H1110" s="144">
        <f>bargiri[[#This Row],[میزان بارگیری شده]]*bargiri[[#This Row],[فی]]</f>
        <v>1416100000</v>
      </c>
      <c r="I1110" s="321">
        <f>IF(year=bargiri[[#This Row],[سال]],1,0)</f>
        <v>0</v>
      </c>
      <c r="X1110" s="1"/>
      <c r="Y1110" s="1"/>
      <c r="Z1110" s="1"/>
    </row>
    <row r="1111" spans="1:26" ht="18.600000000000001" hidden="1" x14ac:dyDescent="0.25">
      <c r="A1111" s="321" t="s">
        <v>187</v>
      </c>
      <c r="B1111" s="321" t="s">
        <v>106</v>
      </c>
      <c r="C1111" s="318" t="s">
        <v>48</v>
      </c>
      <c r="D1111">
        <v>20675</v>
      </c>
      <c r="E1111" s="143">
        <v>65000</v>
      </c>
      <c r="F1111" s="117">
        <v>1403</v>
      </c>
      <c r="G1111" s="321" t="s">
        <v>300</v>
      </c>
      <c r="H1111" s="144">
        <f>bargiri[[#This Row],[میزان بارگیری شده]]*bargiri[[#This Row],[فی]]</f>
        <v>1343875000</v>
      </c>
      <c r="I1111" s="321">
        <f>IF(year=bargiri[[#This Row],[سال]],1,0)</f>
        <v>0</v>
      </c>
      <c r="X1111" s="1"/>
      <c r="Y1111" s="1"/>
      <c r="Z1111" s="1"/>
    </row>
    <row r="1112" spans="1:26" ht="18.600000000000001" hidden="1" x14ac:dyDescent="0.25">
      <c r="A1112" s="321" t="s">
        <v>419</v>
      </c>
      <c r="B1112" s="321" t="s">
        <v>116</v>
      </c>
      <c r="C1112" s="318" t="s">
        <v>77</v>
      </c>
      <c r="D1112">
        <v>20570</v>
      </c>
      <c r="E1112" s="143">
        <v>68500</v>
      </c>
      <c r="F1112" s="117">
        <v>1403</v>
      </c>
      <c r="G1112" s="321" t="s">
        <v>300</v>
      </c>
      <c r="H1112" s="144">
        <f>bargiri[[#This Row],[میزان بارگیری شده]]*bargiri[[#This Row],[فی]]</f>
        <v>1409045000</v>
      </c>
      <c r="I1112" s="321">
        <f>IF(year=bargiri[[#This Row],[سال]],1,0)</f>
        <v>0</v>
      </c>
      <c r="X1112" s="1"/>
      <c r="Y1112" s="1"/>
      <c r="Z1112" s="1"/>
    </row>
    <row r="1113" spans="1:26" ht="18.600000000000001" hidden="1" x14ac:dyDescent="0.25">
      <c r="A1113" s="321" t="s">
        <v>419</v>
      </c>
      <c r="B1113" s="321" t="s">
        <v>117</v>
      </c>
      <c r="C1113" s="318" t="s">
        <v>82</v>
      </c>
      <c r="D1113">
        <v>21540</v>
      </c>
      <c r="E1113" s="143">
        <v>70000</v>
      </c>
      <c r="F1113" s="117">
        <v>1403</v>
      </c>
      <c r="G1113" s="321" t="s">
        <v>300</v>
      </c>
      <c r="H1113" s="144">
        <f>bargiri[[#This Row],[میزان بارگیری شده]]*bargiri[[#This Row],[فی]]</f>
        <v>1507800000</v>
      </c>
      <c r="I1113" s="321">
        <f>IF(year=bargiri[[#This Row],[سال]],1,0)</f>
        <v>0</v>
      </c>
      <c r="X1113" s="1"/>
      <c r="Y1113" s="1"/>
      <c r="Z1113" s="1"/>
    </row>
    <row r="1114" spans="1:26" ht="18.600000000000001" hidden="1" x14ac:dyDescent="0.25">
      <c r="A1114" s="321" t="s">
        <v>419</v>
      </c>
      <c r="B1114" s="321" t="s">
        <v>107</v>
      </c>
      <c r="C1114" s="318" t="s">
        <v>50</v>
      </c>
      <c r="D1114">
        <v>19160</v>
      </c>
      <c r="E1114" s="143">
        <v>70000</v>
      </c>
      <c r="F1114" s="117">
        <v>1403</v>
      </c>
      <c r="G1114" s="321" t="s">
        <v>300</v>
      </c>
      <c r="H1114" s="144">
        <f>bargiri[[#This Row],[میزان بارگیری شده]]*bargiri[[#This Row],[فی]]</f>
        <v>1341200000</v>
      </c>
      <c r="I1114" s="321">
        <f>IF(year=bargiri[[#This Row],[سال]],1,0)</f>
        <v>0</v>
      </c>
      <c r="X1114" s="1"/>
      <c r="Y1114" s="1"/>
      <c r="Z1114" s="1"/>
    </row>
    <row r="1115" spans="1:26" ht="18.600000000000001" hidden="1" x14ac:dyDescent="0.25">
      <c r="A1115" s="321" t="s">
        <v>419</v>
      </c>
      <c r="B1115" s="321" t="s">
        <v>104</v>
      </c>
      <c r="C1115" s="318" t="s">
        <v>41</v>
      </c>
      <c r="D1115">
        <v>16670</v>
      </c>
      <c r="E1115" s="143">
        <v>85000</v>
      </c>
      <c r="F1115" s="117">
        <v>1403</v>
      </c>
      <c r="G1115" s="321" t="s">
        <v>300</v>
      </c>
      <c r="H1115" s="144">
        <f>bargiri[[#This Row],[میزان بارگیری شده]]*bargiri[[#This Row],[فی]]</f>
        <v>1416950000</v>
      </c>
      <c r="I1115" s="321">
        <f>IF(year=bargiri[[#This Row],[سال]],1,0)</f>
        <v>0</v>
      </c>
      <c r="X1115" s="1"/>
      <c r="Y1115" s="1"/>
      <c r="Z1115" s="1"/>
    </row>
    <row r="1116" spans="1:26" ht="18.600000000000001" hidden="1" x14ac:dyDescent="0.25">
      <c r="A1116" s="321" t="s">
        <v>395</v>
      </c>
      <c r="B1116" s="321" t="s">
        <v>116</v>
      </c>
      <c r="C1116" s="318" t="s">
        <v>77</v>
      </c>
      <c r="D1116">
        <v>20690</v>
      </c>
      <c r="E1116" s="143">
        <v>68500</v>
      </c>
      <c r="F1116" s="117">
        <v>1403</v>
      </c>
      <c r="G1116" s="321" t="s">
        <v>300</v>
      </c>
      <c r="H1116" s="144">
        <f>bargiri[[#This Row],[میزان بارگیری شده]]*bargiri[[#This Row],[فی]]</f>
        <v>1417265000</v>
      </c>
      <c r="I1116" s="321">
        <f>IF(year=bargiri[[#This Row],[سال]],1,0)</f>
        <v>0</v>
      </c>
      <c r="X1116" s="1"/>
      <c r="Y1116" s="1"/>
      <c r="Z1116" s="1"/>
    </row>
    <row r="1117" spans="1:26" ht="18.600000000000001" hidden="1" x14ac:dyDescent="0.25">
      <c r="A1117" s="321" t="s">
        <v>175</v>
      </c>
      <c r="B1117" s="321" t="s">
        <v>98</v>
      </c>
      <c r="C1117" s="318" t="s">
        <v>11</v>
      </c>
      <c r="D1117">
        <v>23300</v>
      </c>
      <c r="E1117" s="143">
        <v>77000</v>
      </c>
      <c r="F1117" s="117">
        <v>1403</v>
      </c>
      <c r="G1117" s="321" t="s">
        <v>300</v>
      </c>
      <c r="H1117" s="144">
        <f>bargiri[[#This Row],[میزان بارگیری شده]]*bargiri[[#This Row],[فی]]</f>
        <v>1794100000</v>
      </c>
      <c r="I1117" s="321">
        <f>IF(year=bargiri[[#This Row],[سال]],1,0)</f>
        <v>0</v>
      </c>
      <c r="X1117" s="1"/>
      <c r="Y1117" s="1"/>
      <c r="Z1117" s="1"/>
    </row>
    <row r="1118" spans="1:26" ht="18.600000000000001" hidden="1" x14ac:dyDescent="0.25">
      <c r="A1118" s="321" t="s">
        <v>420</v>
      </c>
      <c r="B1118" s="321" t="s">
        <v>116</v>
      </c>
      <c r="C1118" s="318" t="s">
        <v>77</v>
      </c>
      <c r="D1118">
        <v>20190</v>
      </c>
      <c r="E1118" s="143">
        <v>68500</v>
      </c>
      <c r="F1118" s="117">
        <v>1403</v>
      </c>
      <c r="G1118" s="321" t="s">
        <v>300</v>
      </c>
      <c r="H1118" s="144">
        <f>bargiri[[#This Row],[میزان بارگیری شده]]*bargiri[[#This Row],[فی]]</f>
        <v>1383015000</v>
      </c>
      <c r="I1118" s="321">
        <f>IF(year=bargiri[[#This Row],[سال]],1,0)</f>
        <v>0</v>
      </c>
      <c r="X1118" s="1"/>
      <c r="Y1118" s="1"/>
      <c r="Z1118" s="1"/>
    </row>
    <row r="1119" spans="1:26" ht="18.600000000000001" hidden="1" x14ac:dyDescent="0.25">
      <c r="A1119" s="321" t="s">
        <v>420</v>
      </c>
      <c r="B1119" s="321" t="s">
        <v>101</v>
      </c>
      <c r="C1119" s="318" t="s">
        <v>20</v>
      </c>
      <c r="D1119">
        <v>22380</v>
      </c>
      <c r="E1119" s="143">
        <v>68000</v>
      </c>
      <c r="F1119" s="117">
        <v>1403</v>
      </c>
      <c r="G1119" s="321" t="s">
        <v>300</v>
      </c>
      <c r="H1119" s="144">
        <f>bargiri[[#This Row],[میزان بارگیری شده]]*bargiri[[#This Row],[فی]]</f>
        <v>1521840000</v>
      </c>
      <c r="I1119" s="321">
        <f>IF(year=bargiri[[#This Row],[سال]],1,0)</f>
        <v>0</v>
      </c>
      <c r="X1119" s="1"/>
      <c r="Y1119" s="1"/>
      <c r="Z1119" s="1"/>
    </row>
    <row r="1120" spans="1:26" ht="18.600000000000001" hidden="1" x14ac:dyDescent="0.25">
      <c r="A1120" s="321" t="s">
        <v>420</v>
      </c>
      <c r="B1120" s="321" t="s">
        <v>99</v>
      </c>
      <c r="C1120" s="318" t="s">
        <v>13</v>
      </c>
      <c r="D1120">
        <v>19335</v>
      </c>
      <c r="E1120" s="143">
        <v>65000</v>
      </c>
      <c r="F1120" s="117">
        <v>1403</v>
      </c>
      <c r="G1120" s="321" t="s">
        <v>300</v>
      </c>
      <c r="H1120" s="144">
        <f>bargiri[[#This Row],[میزان بارگیری شده]]*bargiri[[#This Row],[فی]]</f>
        <v>1256775000</v>
      </c>
      <c r="I1120" s="321">
        <f>IF(year=bargiri[[#This Row],[سال]],1,0)</f>
        <v>0</v>
      </c>
      <c r="X1120" s="1"/>
      <c r="Y1120" s="1"/>
      <c r="Z1120" s="1"/>
    </row>
    <row r="1121" spans="1:26" ht="18.600000000000001" hidden="1" x14ac:dyDescent="0.25">
      <c r="A1121" s="321" t="s">
        <v>420</v>
      </c>
      <c r="B1121" s="321" t="s">
        <v>107</v>
      </c>
      <c r="C1121" s="318" t="s">
        <v>50</v>
      </c>
      <c r="D1121">
        <v>19190</v>
      </c>
      <c r="E1121" s="143">
        <v>70000</v>
      </c>
      <c r="F1121" s="117">
        <v>1403</v>
      </c>
      <c r="G1121" s="321" t="s">
        <v>300</v>
      </c>
      <c r="H1121" s="144">
        <f>bargiri[[#This Row],[میزان بارگیری شده]]*bargiri[[#This Row],[فی]]</f>
        <v>1343300000</v>
      </c>
      <c r="I1121" s="321">
        <f>IF(year=bargiri[[#This Row],[سال]],1,0)</f>
        <v>0</v>
      </c>
      <c r="X1121" s="1"/>
      <c r="Y1121" s="1"/>
      <c r="Z1121" s="1"/>
    </row>
    <row r="1122" spans="1:26" ht="18.600000000000001" hidden="1" x14ac:dyDescent="0.25">
      <c r="A1122" s="321" t="s">
        <v>395</v>
      </c>
      <c r="B1122" s="321" t="s">
        <v>110</v>
      </c>
      <c r="C1122" s="318" t="s">
        <v>57</v>
      </c>
      <c r="D1122">
        <v>14800</v>
      </c>
      <c r="E1122" s="143">
        <v>78000</v>
      </c>
      <c r="F1122" s="117">
        <v>1403</v>
      </c>
      <c r="G1122" s="321" t="s">
        <v>300</v>
      </c>
      <c r="H1122" s="144">
        <f>bargiri[[#This Row],[میزان بارگیری شده]]*bargiri[[#This Row],[فی]]</f>
        <v>1154400000</v>
      </c>
      <c r="I1122" s="321">
        <f>IF(year=bargiri[[#This Row],[سال]],1,0)</f>
        <v>0</v>
      </c>
      <c r="X1122" s="1"/>
      <c r="Y1122" s="1"/>
      <c r="Z1122" s="1"/>
    </row>
    <row r="1123" spans="1:26" ht="18.600000000000001" hidden="1" x14ac:dyDescent="0.25">
      <c r="A1123" s="321" t="s">
        <v>421</v>
      </c>
      <c r="B1123" s="321" t="s">
        <v>116</v>
      </c>
      <c r="C1123" s="318" t="s">
        <v>77</v>
      </c>
      <c r="D1123">
        <v>21105</v>
      </c>
      <c r="E1123" s="143">
        <v>68500</v>
      </c>
      <c r="F1123" s="117">
        <v>1403</v>
      </c>
      <c r="G1123" s="321" t="s">
        <v>300</v>
      </c>
      <c r="H1123" s="144">
        <f>bargiri[[#This Row],[میزان بارگیری شده]]*bargiri[[#This Row],[فی]]</f>
        <v>1445692500</v>
      </c>
      <c r="I1123" s="321">
        <f>IF(year=bargiri[[#This Row],[سال]],1,0)</f>
        <v>0</v>
      </c>
      <c r="X1123" s="1"/>
      <c r="Y1123" s="1"/>
      <c r="Z1123" s="1"/>
    </row>
    <row r="1124" spans="1:26" ht="18.600000000000001" hidden="1" x14ac:dyDescent="0.25">
      <c r="A1124" s="321" t="s">
        <v>421</v>
      </c>
      <c r="B1124" s="321" t="s">
        <v>102</v>
      </c>
      <c r="C1124" s="318" t="s">
        <v>26</v>
      </c>
      <c r="D1124">
        <v>11675</v>
      </c>
      <c r="E1124" s="143">
        <v>70000</v>
      </c>
      <c r="F1124" s="117">
        <v>1403</v>
      </c>
      <c r="G1124" s="321" t="s">
        <v>300</v>
      </c>
      <c r="H1124" s="144">
        <f>bargiri[[#This Row],[میزان بارگیری شده]]*bargiri[[#This Row],[فی]]</f>
        <v>817250000</v>
      </c>
      <c r="I1124" s="321">
        <f>IF(year=bargiri[[#This Row],[سال]],1,0)</f>
        <v>0</v>
      </c>
      <c r="X1124" s="1"/>
      <c r="Y1124" s="1"/>
      <c r="Z1124" s="1"/>
    </row>
    <row r="1125" spans="1:26" ht="18.600000000000001" hidden="1" x14ac:dyDescent="0.25">
      <c r="A1125" s="321" t="s">
        <v>396</v>
      </c>
      <c r="B1125" s="321" t="s">
        <v>116</v>
      </c>
      <c r="C1125" s="318" t="s">
        <v>77</v>
      </c>
      <c r="D1125">
        <v>19725</v>
      </c>
      <c r="E1125" s="143">
        <v>68500</v>
      </c>
      <c r="F1125" s="117">
        <v>1403</v>
      </c>
      <c r="G1125" s="321" t="s">
        <v>300</v>
      </c>
      <c r="H1125" s="144">
        <f>bargiri[[#This Row],[میزان بارگیری شده]]*bargiri[[#This Row],[فی]]</f>
        <v>1351162500</v>
      </c>
      <c r="I1125" s="321">
        <f>IF(year=bargiri[[#This Row],[سال]],1,0)</f>
        <v>0</v>
      </c>
      <c r="X1125" s="1"/>
      <c r="Y1125" s="1"/>
      <c r="Z1125" s="1"/>
    </row>
    <row r="1126" spans="1:26" ht="18.600000000000001" hidden="1" x14ac:dyDescent="0.25">
      <c r="A1126" s="321" t="s">
        <v>396</v>
      </c>
      <c r="B1126" s="321" t="s">
        <v>116</v>
      </c>
      <c r="C1126" s="318" t="s">
        <v>77</v>
      </c>
      <c r="D1126">
        <v>21085</v>
      </c>
      <c r="E1126" s="143">
        <v>68500</v>
      </c>
      <c r="F1126" s="117">
        <v>1403</v>
      </c>
      <c r="G1126" s="321" t="s">
        <v>300</v>
      </c>
      <c r="H1126" s="144">
        <f>bargiri[[#This Row],[میزان بارگیری شده]]*bargiri[[#This Row],[فی]]</f>
        <v>1444322500</v>
      </c>
      <c r="I1126" s="321">
        <f>IF(year=bargiri[[#This Row],[سال]],1,0)</f>
        <v>0</v>
      </c>
      <c r="X1126" s="1"/>
      <c r="Y1126" s="1"/>
      <c r="Z1126" s="1"/>
    </row>
    <row r="1127" spans="1:26" ht="18.600000000000001" hidden="1" x14ac:dyDescent="0.25">
      <c r="A1127" s="321" t="s">
        <v>396</v>
      </c>
      <c r="B1127" s="321" t="s">
        <v>106</v>
      </c>
      <c r="C1127" s="318" t="s">
        <v>48</v>
      </c>
      <c r="D1127">
        <v>17965</v>
      </c>
      <c r="E1127" s="143">
        <v>65000</v>
      </c>
      <c r="F1127" s="117">
        <v>1403</v>
      </c>
      <c r="G1127" s="321" t="s">
        <v>300</v>
      </c>
      <c r="H1127" s="144">
        <f>bargiri[[#This Row],[میزان بارگیری شده]]*bargiri[[#This Row],[فی]]</f>
        <v>1167725000</v>
      </c>
      <c r="I1127" s="321">
        <f>IF(year=bargiri[[#This Row],[سال]],1,0)</f>
        <v>0</v>
      </c>
      <c r="X1127" s="1"/>
      <c r="Y1127" s="1"/>
      <c r="Z1127" s="1"/>
    </row>
    <row r="1128" spans="1:26" ht="18.600000000000001" hidden="1" x14ac:dyDescent="0.25">
      <c r="A1128" s="321" t="s">
        <v>396</v>
      </c>
      <c r="B1128" s="321" t="s">
        <v>107</v>
      </c>
      <c r="C1128" s="318" t="s">
        <v>50</v>
      </c>
      <c r="D1128">
        <v>18900</v>
      </c>
      <c r="E1128" s="143">
        <v>70000</v>
      </c>
      <c r="F1128" s="117">
        <v>1403</v>
      </c>
      <c r="G1128" s="321" t="s">
        <v>300</v>
      </c>
      <c r="H1128" s="144">
        <f>bargiri[[#This Row],[میزان بارگیری شده]]*bargiri[[#This Row],[فی]]</f>
        <v>1323000000</v>
      </c>
      <c r="I1128" s="321">
        <f>IF(year=bargiri[[#This Row],[سال]],1,0)</f>
        <v>0</v>
      </c>
      <c r="X1128" s="1"/>
      <c r="Y1128" s="1"/>
      <c r="Z1128" s="1"/>
    </row>
    <row r="1129" spans="1:26" ht="18.600000000000001" hidden="1" x14ac:dyDescent="0.25">
      <c r="A1129" s="321" t="s">
        <v>396</v>
      </c>
      <c r="B1129" s="321" t="s">
        <v>99</v>
      </c>
      <c r="C1129" s="318" t="s">
        <v>13</v>
      </c>
      <c r="D1129">
        <v>20550</v>
      </c>
      <c r="E1129" s="143">
        <v>65000</v>
      </c>
      <c r="F1129" s="117">
        <v>1403</v>
      </c>
      <c r="G1129" s="321" t="s">
        <v>300</v>
      </c>
      <c r="H1129" s="144">
        <f>bargiri[[#This Row],[میزان بارگیری شده]]*bargiri[[#This Row],[فی]]</f>
        <v>1335750000</v>
      </c>
      <c r="I1129" s="321">
        <f>IF(year=bargiri[[#This Row],[سال]],1,0)</f>
        <v>0</v>
      </c>
      <c r="X1129" s="1"/>
      <c r="Y1129" s="1"/>
      <c r="Z1129" s="1"/>
    </row>
    <row r="1130" spans="1:26" ht="18.600000000000001" hidden="1" x14ac:dyDescent="0.25">
      <c r="A1130" s="321" t="s">
        <v>422</v>
      </c>
      <c r="B1130" s="321" t="s">
        <v>115</v>
      </c>
      <c r="C1130" s="318" t="s">
        <v>65</v>
      </c>
      <c r="D1130">
        <v>22150</v>
      </c>
      <c r="E1130" s="143">
        <v>75000</v>
      </c>
      <c r="F1130" s="117">
        <v>1403</v>
      </c>
      <c r="G1130" s="321" t="s">
        <v>300</v>
      </c>
      <c r="H1130" s="144">
        <f>bargiri[[#This Row],[میزان بارگیری شده]]*bargiri[[#This Row],[فی]]</f>
        <v>1661250000</v>
      </c>
      <c r="I1130" s="321">
        <f>IF(year=bargiri[[#This Row],[سال]],1,0)</f>
        <v>0</v>
      </c>
      <c r="X1130" s="1"/>
      <c r="Y1130" s="1"/>
      <c r="Z1130" s="1"/>
    </row>
    <row r="1131" spans="1:26" ht="18.600000000000001" hidden="1" x14ac:dyDescent="0.25">
      <c r="A1131" s="321" t="s">
        <v>422</v>
      </c>
      <c r="B1131" s="321" t="s">
        <v>104</v>
      </c>
      <c r="C1131" s="318" t="s">
        <v>41</v>
      </c>
      <c r="D1131">
        <v>16935</v>
      </c>
      <c r="E1131" s="143">
        <v>85000</v>
      </c>
      <c r="F1131" s="117">
        <v>1403</v>
      </c>
      <c r="G1131" s="321" t="s">
        <v>300</v>
      </c>
      <c r="H1131" s="144">
        <f>bargiri[[#This Row],[میزان بارگیری شده]]*bargiri[[#This Row],[فی]]</f>
        <v>1439475000</v>
      </c>
      <c r="I1131" s="321">
        <f>IF(year=bargiri[[#This Row],[سال]],1,0)</f>
        <v>0</v>
      </c>
      <c r="X1131" s="1"/>
      <c r="Y1131" s="1"/>
      <c r="Z1131" s="1"/>
    </row>
    <row r="1132" spans="1:26" ht="18.600000000000001" hidden="1" x14ac:dyDescent="0.25">
      <c r="A1132" s="321" t="s">
        <v>422</v>
      </c>
      <c r="B1132" s="321" t="s">
        <v>99</v>
      </c>
      <c r="C1132" s="318" t="s">
        <v>13</v>
      </c>
      <c r="D1132">
        <v>21120</v>
      </c>
      <c r="E1132" s="143">
        <v>65000</v>
      </c>
      <c r="F1132" s="117">
        <v>1403</v>
      </c>
      <c r="G1132" s="321" t="s">
        <v>300</v>
      </c>
      <c r="H1132" s="144">
        <f>bargiri[[#This Row],[میزان بارگیری شده]]*bargiri[[#This Row],[فی]]</f>
        <v>1372800000</v>
      </c>
      <c r="I1132" s="321">
        <f>IF(year=bargiri[[#This Row],[سال]],1,0)</f>
        <v>0</v>
      </c>
      <c r="X1132" s="1"/>
      <c r="Y1132" s="1"/>
      <c r="Z1132" s="1"/>
    </row>
    <row r="1133" spans="1:26" ht="18.600000000000001" hidden="1" x14ac:dyDescent="0.25">
      <c r="A1133" s="321" t="s">
        <v>422</v>
      </c>
      <c r="B1133" s="321" t="s">
        <v>99</v>
      </c>
      <c r="C1133" s="318" t="s">
        <v>13</v>
      </c>
      <c r="D1133">
        <v>18035</v>
      </c>
      <c r="E1133" s="143">
        <v>65000</v>
      </c>
      <c r="F1133" s="117">
        <v>1403</v>
      </c>
      <c r="G1133" s="321" t="s">
        <v>300</v>
      </c>
      <c r="H1133" s="144">
        <f>bargiri[[#This Row],[میزان بارگیری شده]]*bargiri[[#This Row],[فی]]</f>
        <v>1172275000</v>
      </c>
      <c r="I1133" s="321">
        <f>IF(year=bargiri[[#This Row],[سال]],1,0)</f>
        <v>0</v>
      </c>
      <c r="X1133" s="1"/>
      <c r="Y1133" s="1"/>
      <c r="Z1133" s="1"/>
    </row>
    <row r="1134" spans="1:26" ht="18.600000000000001" hidden="1" x14ac:dyDescent="0.25">
      <c r="A1134" s="321" t="s">
        <v>422</v>
      </c>
      <c r="B1134" s="321" t="s">
        <v>106</v>
      </c>
      <c r="C1134" s="318" t="s">
        <v>48</v>
      </c>
      <c r="D1134">
        <v>20120</v>
      </c>
      <c r="E1134" s="143">
        <v>65000</v>
      </c>
      <c r="F1134" s="117">
        <v>1403</v>
      </c>
      <c r="G1134" s="321" t="s">
        <v>300</v>
      </c>
      <c r="H1134" s="144">
        <f>bargiri[[#This Row],[میزان بارگیری شده]]*bargiri[[#This Row],[فی]]</f>
        <v>1307800000</v>
      </c>
      <c r="I1134" s="321">
        <f>IF(year=bargiri[[#This Row],[سال]],1,0)</f>
        <v>0</v>
      </c>
      <c r="X1134" s="1"/>
      <c r="Y1134" s="1"/>
      <c r="Z1134" s="1"/>
    </row>
    <row r="1135" spans="1:26" ht="18.600000000000001" hidden="1" x14ac:dyDescent="0.25">
      <c r="A1135" s="321" t="s">
        <v>423</v>
      </c>
      <c r="B1135" s="321" t="s">
        <v>116</v>
      </c>
      <c r="C1135" s="318" t="s">
        <v>77</v>
      </c>
      <c r="D1135">
        <v>18095</v>
      </c>
      <c r="E1135" s="143">
        <v>68500</v>
      </c>
      <c r="F1135" s="117">
        <v>1403</v>
      </c>
      <c r="G1135" s="321" t="s">
        <v>300</v>
      </c>
      <c r="H1135" s="144">
        <f>bargiri[[#This Row],[میزان بارگیری شده]]*bargiri[[#This Row],[فی]]</f>
        <v>1239507500</v>
      </c>
      <c r="I1135" s="321">
        <f>IF(year=bargiri[[#This Row],[سال]],1,0)</f>
        <v>0</v>
      </c>
      <c r="X1135" s="1"/>
      <c r="Y1135" s="1"/>
      <c r="Z1135" s="1"/>
    </row>
    <row r="1136" spans="1:26" ht="18.600000000000001" hidden="1" x14ac:dyDescent="0.25">
      <c r="A1136" s="321" t="s">
        <v>423</v>
      </c>
      <c r="B1136" s="321" t="s">
        <v>124</v>
      </c>
      <c r="C1136" s="318" t="s">
        <v>94</v>
      </c>
      <c r="D1136">
        <v>22120</v>
      </c>
      <c r="E1136" s="143">
        <v>70000</v>
      </c>
      <c r="F1136" s="117">
        <v>1403</v>
      </c>
      <c r="G1136" s="321" t="s">
        <v>300</v>
      </c>
      <c r="H1136" s="144">
        <f>bargiri[[#This Row],[میزان بارگیری شده]]*bargiri[[#This Row],[فی]]</f>
        <v>1548400000</v>
      </c>
      <c r="I1136" s="321">
        <f>IF(year=bargiri[[#This Row],[سال]],1,0)</f>
        <v>0</v>
      </c>
      <c r="X1136" s="1"/>
      <c r="Y1136" s="1"/>
      <c r="Z1136" s="1"/>
    </row>
    <row r="1137" spans="1:26" ht="18.600000000000001" hidden="1" x14ac:dyDescent="0.25">
      <c r="A1137" s="321" t="s">
        <v>423</v>
      </c>
      <c r="B1137" s="321" t="s">
        <v>106</v>
      </c>
      <c r="C1137" s="318" t="s">
        <v>48</v>
      </c>
      <c r="D1137">
        <v>20205</v>
      </c>
      <c r="E1137" s="143">
        <v>65000</v>
      </c>
      <c r="F1137" s="117">
        <v>1403</v>
      </c>
      <c r="G1137" s="321" t="s">
        <v>300</v>
      </c>
      <c r="H1137" s="144">
        <f>bargiri[[#This Row],[میزان بارگیری شده]]*bargiri[[#This Row],[فی]]</f>
        <v>1313325000</v>
      </c>
      <c r="I1137" s="321">
        <f>IF(year=bargiri[[#This Row],[سال]],1,0)</f>
        <v>0</v>
      </c>
      <c r="X1137" s="1"/>
      <c r="Y1137" s="1"/>
      <c r="Z1137" s="1"/>
    </row>
    <row r="1138" spans="1:26" ht="18.600000000000001" hidden="1" x14ac:dyDescent="0.25">
      <c r="A1138" s="321" t="s">
        <v>423</v>
      </c>
      <c r="B1138" s="321" t="s">
        <v>102</v>
      </c>
      <c r="C1138" s="318" t="s">
        <v>26</v>
      </c>
      <c r="D1138">
        <v>11255</v>
      </c>
      <c r="E1138" s="143">
        <v>70000</v>
      </c>
      <c r="F1138" s="117">
        <v>1403</v>
      </c>
      <c r="G1138" s="321" t="s">
        <v>300</v>
      </c>
      <c r="H1138" s="144">
        <f>bargiri[[#This Row],[میزان بارگیری شده]]*bargiri[[#This Row],[فی]]</f>
        <v>787850000</v>
      </c>
      <c r="I1138" s="321">
        <f>IF(year=bargiri[[#This Row],[سال]],1,0)</f>
        <v>0</v>
      </c>
      <c r="X1138" s="1"/>
      <c r="Y1138" s="1"/>
      <c r="Z1138" s="1"/>
    </row>
    <row r="1139" spans="1:26" ht="18.600000000000001" hidden="1" x14ac:dyDescent="0.25">
      <c r="A1139" s="321" t="s">
        <v>423</v>
      </c>
      <c r="B1139" s="321" t="s">
        <v>116</v>
      </c>
      <c r="C1139" s="318" t="s">
        <v>77</v>
      </c>
      <c r="D1139">
        <v>20645</v>
      </c>
      <c r="E1139" s="143">
        <v>68500</v>
      </c>
      <c r="F1139" s="117">
        <v>1403</v>
      </c>
      <c r="G1139" s="321" t="s">
        <v>300</v>
      </c>
      <c r="H1139" s="144">
        <f>bargiri[[#This Row],[میزان بارگیری شده]]*bargiri[[#This Row],[فی]]</f>
        <v>1414182500</v>
      </c>
      <c r="I1139" s="321">
        <f>IF(year=bargiri[[#This Row],[سال]],1,0)</f>
        <v>0</v>
      </c>
      <c r="X1139" s="1"/>
      <c r="Y1139" s="1"/>
      <c r="Z1139" s="1"/>
    </row>
    <row r="1140" spans="1:26" ht="18.600000000000001" hidden="1" x14ac:dyDescent="0.25">
      <c r="A1140" s="321" t="s">
        <v>423</v>
      </c>
      <c r="B1140" s="321" t="s">
        <v>107</v>
      </c>
      <c r="C1140" s="318" t="s">
        <v>50</v>
      </c>
      <c r="D1140">
        <v>19105</v>
      </c>
      <c r="E1140" s="143">
        <v>70000</v>
      </c>
      <c r="F1140" s="117">
        <v>1403</v>
      </c>
      <c r="G1140" s="321" t="s">
        <v>300</v>
      </c>
      <c r="H1140" s="144">
        <f>bargiri[[#This Row],[میزان بارگیری شده]]*bargiri[[#This Row],[فی]]</f>
        <v>1337350000</v>
      </c>
      <c r="I1140" s="321">
        <f>IF(year=bargiri[[#This Row],[سال]],1,0)</f>
        <v>0</v>
      </c>
      <c r="X1140" s="1"/>
      <c r="Y1140" s="1"/>
      <c r="Z1140" s="1"/>
    </row>
    <row r="1141" spans="1:26" ht="18.600000000000001" hidden="1" x14ac:dyDescent="0.25">
      <c r="A1141" s="321" t="s">
        <v>175</v>
      </c>
      <c r="B1141" s="321" t="s">
        <v>116</v>
      </c>
      <c r="C1141" s="318" t="s">
        <v>77</v>
      </c>
      <c r="D1141">
        <v>20045</v>
      </c>
      <c r="E1141" s="143">
        <v>68500</v>
      </c>
      <c r="F1141" s="117">
        <v>1403</v>
      </c>
      <c r="G1141" s="321" t="s">
        <v>300</v>
      </c>
      <c r="H1141" s="144">
        <f>bargiri[[#This Row],[میزان بارگیری شده]]*bargiri[[#This Row],[فی]]</f>
        <v>1373082500</v>
      </c>
      <c r="I1141" s="321">
        <f>IF(year=bargiri[[#This Row],[سال]],1,0)</f>
        <v>0</v>
      </c>
      <c r="X1141" s="1"/>
      <c r="Y1141" s="1"/>
      <c r="Z1141" s="1"/>
    </row>
    <row r="1142" spans="1:26" ht="18.600000000000001" hidden="1" x14ac:dyDescent="0.25">
      <c r="A1142" s="321" t="s">
        <v>424</v>
      </c>
      <c r="B1142" s="321" t="s">
        <v>107</v>
      </c>
      <c r="C1142" s="318" t="s">
        <v>50</v>
      </c>
      <c r="D1142">
        <v>19115</v>
      </c>
      <c r="E1142" s="143">
        <v>70000</v>
      </c>
      <c r="F1142" s="117">
        <v>1403</v>
      </c>
      <c r="G1142" s="321" t="s">
        <v>300</v>
      </c>
      <c r="H1142" s="144">
        <f>bargiri[[#This Row],[میزان بارگیری شده]]*bargiri[[#This Row],[فی]]</f>
        <v>1338050000</v>
      </c>
      <c r="I1142" s="321">
        <f>IF(year=bargiri[[#This Row],[سال]],1,0)</f>
        <v>0</v>
      </c>
      <c r="X1142" s="1"/>
      <c r="Y1142" s="1"/>
      <c r="Z1142" s="1"/>
    </row>
    <row r="1143" spans="1:26" ht="18.600000000000001" hidden="1" x14ac:dyDescent="0.25">
      <c r="A1143" s="321" t="s">
        <v>175</v>
      </c>
      <c r="B1143" s="321" t="s">
        <v>99</v>
      </c>
      <c r="C1143" s="318" t="s">
        <v>13</v>
      </c>
      <c r="D1143">
        <v>18690</v>
      </c>
      <c r="E1143" s="143">
        <v>65000</v>
      </c>
      <c r="F1143" s="117">
        <v>1403</v>
      </c>
      <c r="G1143" s="321" t="s">
        <v>300</v>
      </c>
      <c r="H1143" s="144">
        <f>bargiri[[#This Row],[میزان بارگیری شده]]*bargiri[[#This Row],[فی]]</f>
        <v>1214850000</v>
      </c>
      <c r="I1143" s="321">
        <f>IF(year=bargiri[[#This Row],[سال]],1,0)</f>
        <v>0</v>
      </c>
      <c r="X1143" s="1"/>
      <c r="Y1143" s="1"/>
      <c r="Z1143" s="1"/>
    </row>
    <row r="1144" spans="1:26" ht="18.600000000000001" hidden="1" x14ac:dyDescent="0.25">
      <c r="A1144" s="321" t="s">
        <v>175</v>
      </c>
      <c r="B1144" s="321" t="s">
        <v>102</v>
      </c>
      <c r="C1144" s="318" t="s">
        <v>26</v>
      </c>
      <c r="D1144">
        <v>11325</v>
      </c>
      <c r="E1144" s="143">
        <v>70000</v>
      </c>
      <c r="F1144" s="117">
        <v>1403</v>
      </c>
      <c r="G1144" s="321" t="s">
        <v>300</v>
      </c>
      <c r="H1144" s="144">
        <f>bargiri[[#This Row],[میزان بارگیری شده]]*bargiri[[#This Row],[فی]]</f>
        <v>792750000</v>
      </c>
      <c r="I1144" s="321">
        <f>IF(year=bargiri[[#This Row],[سال]],1,0)</f>
        <v>0</v>
      </c>
      <c r="X1144" s="1"/>
      <c r="Y1144" s="1"/>
      <c r="Z1144" s="1"/>
    </row>
    <row r="1145" spans="1:26" ht="18.600000000000001" hidden="1" x14ac:dyDescent="0.25">
      <c r="A1145" s="321" t="s">
        <v>175</v>
      </c>
      <c r="B1145" s="321" t="s">
        <v>119</v>
      </c>
      <c r="C1145" s="318" t="s">
        <v>87</v>
      </c>
      <c r="D1145">
        <v>20270</v>
      </c>
      <c r="E1145" s="143">
        <v>75000</v>
      </c>
      <c r="F1145" s="117">
        <v>1403</v>
      </c>
      <c r="G1145" s="321" t="s">
        <v>300</v>
      </c>
      <c r="H1145" s="144">
        <f>bargiri[[#This Row],[میزان بارگیری شده]]*bargiri[[#This Row],[فی]]</f>
        <v>1520250000</v>
      </c>
      <c r="I1145" s="321">
        <f>IF(year=bargiri[[#This Row],[سال]],1,0)</f>
        <v>0</v>
      </c>
      <c r="X1145" s="1"/>
      <c r="Y1145" s="1"/>
      <c r="Z1145" s="1"/>
    </row>
    <row r="1146" spans="1:26" ht="18.600000000000001" hidden="1" x14ac:dyDescent="0.25">
      <c r="A1146" s="321" t="s">
        <v>175</v>
      </c>
      <c r="B1146" s="321" t="s">
        <v>106</v>
      </c>
      <c r="C1146" s="318" t="s">
        <v>48</v>
      </c>
      <c r="D1146">
        <v>23215</v>
      </c>
      <c r="E1146" s="143">
        <v>65000</v>
      </c>
      <c r="F1146" s="117">
        <v>1403</v>
      </c>
      <c r="G1146" s="321" t="s">
        <v>300</v>
      </c>
      <c r="H1146" s="144">
        <f>bargiri[[#This Row],[میزان بارگیری شده]]*bargiri[[#This Row],[فی]]</f>
        <v>1508975000</v>
      </c>
      <c r="I1146" s="321">
        <f>IF(year=bargiri[[#This Row],[سال]],1,0)</f>
        <v>0</v>
      </c>
      <c r="X1146" s="1"/>
      <c r="Y1146" s="1"/>
      <c r="Z1146" s="1"/>
    </row>
    <row r="1147" spans="1:26" ht="18.600000000000001" hidden="1" x14ac:dyDescent="0.25">
      <c r="A1147" s="321" t="s">
        <v>397</v>
      </c>
      <c r="B1147" s="321" t="s">
        <v>116</v>
      </c>
      <c r="C1147" s="318" t="s">
        <v>77</v>
      </c>
      <c r="D1147">
        <v>21090</v>
      </c>
      <c r="E1147" s="143">
        <v>68500</v>
      </c>
      <c r="F1147" s="117">
        <v>1403</v>
      </c>
      <c r="G1147" s="321" t="s">
        <v>300</v>
      </c>
      <c r="H1147" s="144">
        <f>bargiri[[#This Row],[میزان بارگیری شده]]*bargiri[[#This Row],[فی]]</f>
        <v>1444665000</v>
      </c>
      <c r="I1147" s="321">
        <f>IF(year=bargiri[[#This Row],[سال]],1,0)</f>
        <v>0</v>
      </c>
      <c r="X1147" s="1"/>
      <c r="Y1147" s="1"/>
      <c r="Z1147" s="1"/>
    </row>
    <row r="1148" spans="1:26" ht="18.600000000000001" hidden="1" x14ac:dyDescent="0.25">
      <c r="A1148" s="321" t="s">
        <v>425</v>
      </c>
      <c r="B1148" s="321" t="s">
        <v>116</v>
      </c>
      <c r="C1148" s="318" t="s">
        <v>77</v>
      </c>
      <c r="D1148">
        <v>21190</v>
      </c>
      <c r="E1148" s="143">
        <v>68500</v>
      </c>
      <c r="F1148" s="117">
        <v>1403</v>
      </c>
      <c r="G1148" s="321" t="s">
        <v>300</v>
      </c>
      <c r="H1148" s="144">
        <f>bargiri[[#This Row],[میزان بارگیری شده]]*bargiri[[#This Row],[فی]]</f>
        <v>1451515000</v>
      </c>
      <c r="I1148" s="321">
        <f>IF(year=bargiri[[#This Row],[سال]],1,0)</f>
        <v>0</v>
      </c>
      <c r="X1148" s="1"/>
      <c r="Y1148" s="1"/>
      <c r="Z1148" s="1"/>
    </row>
    <row r="1149" spans="1:26" ht="18.600000000000001" hidden="1" x14ac:dyDescent="0.25">
      <c r="A1149" s="321" t="s">
        <v>426</v>
      </c>
      <c r="B1149" s="321" t="s">
        <v>116</v>
      </c>
      <c r="C1149" s="318" t="s">
        <v>77</v>
      </c>
      <c r="D1149">
        <v>20240</v>
      </c>
      <c r="E1149" s="143">
        <v>68500</v>
      </c>
      <c r="F1149" s="117">
        <v>1403</v>
      </c>
      <c r="G1149" s="321" t="s">
        <v>300</v>
      </c>
      <c r="H1149" s="144">
        <f>bargiri[[#This Row],[میزان بارگیری شده]]*bargiri[[#This Row],[فی]]</f>
        <v>1386440000</v>
      </c>
      <c r="I1149" s="321">
        <f>IF(year=bargiri[[#This Row],[سال]],1,0)</f>
        <v>0</v>
      </c>
      <c r="X1149" s="1"/>
      <c r="Y1149" s="1"/>
      <c r="Z1149" s="1"/>
    </row>
    <row r="1150" spans="1:26" ht="18.600000000000001" hidden="1" x14ac:dyDescent="0.25">
      <c r="A1150" s="321" t="s">
        <v>426</v>
      </c>
      <c r="B1150" s="321" t="s">
        <v>116</v>
      </c>
      <c r="C1150" s="318" t="s">
        <v>76</v>
      </c>
      <c r="D1150">
        <v>10040</v>
      </c>
      <c r="E1150" s="143">
        <v>75000</v>
      </c>
      <c r="F1150" s="117">
        <v>1403</v>
      </c>
      <c r="G1150" s="321" t="s">
        <v>300</v>
      </c>
      <c r="H1150" s="144">
        <f>bargiri[[#This Row],[میزان بارگیری شده]]*bargiri[[#This Row],[فی]]</f>
        <v>753000000</v>
      </c>
      <c r="I1150" s="321">
        <f>IF(year=bargiri[[#This Row],[سال]],1,0)</f>
        <v>0</v>
      </c>
      <c r="X1150" s="1"/>
      <c r="Y1150" s="1"/>
      <c r="Z1150" s="1"/>
    </row>
    <row r="1151" spans="1:26" ht="18.600000000000001" hidden="1" x14ac:dyDescent="0.25">
      <c r="A1151" s="321" t="s">
        <v>426</v>
      </c>
      <c r="B1151" s="321" t="s">
        <v>116</v>
      </c>
      <c r="C1151" s="318" t="s">
        <v>77</v>
      </c>
      <c r="D1151">
        <v>20245</v>
      </c>
      <c r="E1151" s="143">
        <v>68500</v>
      </c>
      <c r="F1151" s="117">
        <v>1403</v>
      </c>
      <c r="G1151" s="321" t="s">
        <v>300</v>
      </c>
      <c r="H1151" s="144">
        <f>bargiri[[#This Row],[میزان بارگیری شده]]*bargiri[[#This Row],[فی]]</f>
        <v>1386782500</v>
      </c>
      <c r="I1151" s="321">
        <f>IF(year=bargiri[[#This Row],[سال]],1,0)</f>
        <v>0</v>
      </c>
      <c r="X1151" s="1"/>
      <c r="Y1151" s="1"/>
      <c r="Z1151" s="1"/>
    </row>
    <row r="1152" spans="1:26" ht="18.600000000000001" hidden="1" x14ac:dyDescent="0.25">
      <c r="A1152" s="321" t="s">
        <v>427</v>
      </c>
      <c r="B1152" s="321" t="s">
        <v>116</v>
      </c>
      <c r="C1152" s="318" t="s">
        <v>77</v>
      </c>
      <c r="D1152">
        <v>16690</v>
      </c>
      <c r="E1152" s="143">
        <v>68500</v>
      </c>
      <c r="F1152" s="117">
        <v>1403</v>
      </c>
      <c r="G1152" s="321" t="s">
        <v>300</v>
      </c>
      <c r="H1152" s="144">
        <f>bargiri[[#This Row],[میزان بارگیری شده]]*bargiri[[#This Row],[فی]]</f>
        <v>1143265000</v>
      </c>
      <c r="I1152" s="321">
        <f>IF(year=bargiri[[#This Row],[سال]],1,0)</f>
        <v>0</v>
      </c>
      <c r="X1152" s="1"/>
      <c r="Y1152" s="1"/>
      <c r="Z1152" s="1"/>
    </row>
    <row r="1153" spans="1:26" ht="18.600000000000001" hidden="1" x14ac:dyDescent="0.25">
      <c r="A1153" s="321" t="s">
        <v>398</v>
      </c>
      <c r="B1153" s="321" t="s">
        <v>98</v>
      </c>
      <c r="C1153" s="318" t="s">
        <v>11</v>
      </c>
      <c r="D1153">
        <v>22255</v>
      </c>
      <c r="E1153" s="143">
        <v>77000</v>
      </c>
      <c r="F1153" s="117">
        <v>1403</v>
      </c>
      <c r="G1153" s="321" t="s">
        <v>300</v>
      </c>
      <c r="H1153" s="144">
        <f>bargiri[[#This Row],[میزان بارگیری شده]]*bargiri[[#This Row],[فی]]</f>
        <v>1713635000</v>
      </c>
      <c r="I1153" s="321">
        <f>IF(year=bargiri[[#This Row],[سال]],1,0)</f>
        <v>0</v>
      </c>
      <c r="X1153" s="1"/>
      <c r="Y1153" s="1"/>
      <c r="Z1153" s="1"/>
    </row>
    <row r="1154" spans="1:26" ht="18.600000000000001" hidden="1" x14ac:dyDescent="0.25">
      <c r="A1154" s="321" t="s">
        <v>428</v>
      </c>
      <c r="B1154" s="321" t="s">
        <v>99</v>
      </c>
      <c r="C1154" s="318" t="s">
        <v>13</v>
      </c>
      <c r="D1154">
        <v>18480</v>
      </c>
      <c r="E1154" s="143">
        <v>65000</v>
      </c>
      <c r="F1154" s="117">
        <v>1403</v>
      </c>
      <c r="G1154" s="321" t="s">
        <v>300</v>
      </c>
      <c r="H1154" s="144">
        <f>bargiri[[#This Row],[میزان بارگیری شده]]*bargiri[[#This Row],[فی]]</f>
        <v>1201200000</v>
      </c>
      <c r="I1154" s="321">
        <f>IF(year=bargiri[[#This Row],[سال]],1,0)</f>
        <v>0</v>
      </c>
      <c r="X1154" s="1"/>
      <c r="Y1154" s="1"/>
      <c r="Z1154" s="1"/>
    </row>
    <row r="1155" spans="1:26" ht="18.600000000000001" hidden="1" x14ac:dyDescent="0.25">
      <c r="A1155" s="321" t="s">
        <v>427</v>
      </c>
      <c r="B1155" s="321" t="s">
        <v>106</v>
      </c>
      <c r="C1155" s="318" t="s">
        <v>48</v>
      </c>
      <c r="D1155">
        <v>19695</v>
      </c>
      <c r="E1155" s="143">
        <v>65000</v>
      </c>
      <c r="F1155" s="117">
        <v>1403</v>
      </c>
      <c r="G1155" s="321" t="s">
        <v>300</v>
      </c>
      <c r="H1155" s="144">
        <f>bargiri[[#This Row],[میزان بارگیری شده]]*bargiri[[#This Row],[فی]]</f>
        <v>1280175000</v>
      </c>
      <c r="I1155" s="321">
        <f>IF(year=bargiri[[#This Row],[سال]],1,0)</f>
        <v>0</v>
      </c>
      <c r="X1155" s="1"/>
      <c r="Y1155" s="1"/>
      <c r="Z1155" s="1"/>
    </row>
    <row r="1156" spans="1:26" ht="18.600000000000001" hidden="1" x14ac:dyDescent="0.25">
      <c r="A1156" s="321" t="s">
        <v>429</v>
      </c>
      <c r="B1156" s="321" t="s">
        <v>106</v>
      </c>
      <c r="C1156" s="318" t="s">
        <v>48</v>
      </c>
      <c r="D1156">
        <v>20220</v>
      </c>
      <c r="E1156" s="143">
        <v>65000</v>
      </c>
      <c r="F1156" s="117">
        <v>1403</v>
      </c>
      <c r="G1156" s="321" t="s">
        <v>301</v>
      </c>
      <c r="H1156" s="144">
        <f>bargiri[[#This Row],[میزان بارگیری شده]]*bargiri[[#This Row],[فی]]</f>
        <v>1314300000</v>
      </c>
      <c r="I1156" s="321">
        <f>IF(year=bargiri[[#This Row],[سال]],1,0)</f>
        <v>0</v>
      </c>
      <c r="X1156" s="1"/>
      <c r="Y1156" s="1"/>
      <c r="Z1156" s="1"/>
    </row>
    <row r="1157" spans="1:26" ht="18.600000000000001" hidden="1" x14ac:dyDescent="0.25">
      <c r="A1157" s="321" t="s">
        <v>181</v>
      </c>
      <c r="B1157" s="321" t="s">
        <v>106</v>
      </c>
      <c r="C1157" s="318" t="s">
        <v>48</v>
      </c>
      <c r="D1157">
        <v>20055</v>
      </c>
      <c r="E1157" s="143">
        <v>65000</v>
      </c>
      <c r="F1157" s="117">
        <v>1403</v>
      </c>
      <c r="G1157" s="321" t="s">
        <v>301</v>
      </c>
      <c r="H1157" s="144">
        <f>bargiri[[#This Row],[میزان بارگیری شده]]*bargiri[[#This Row],[فی]]</f>
        <v>1303575000</v>
      </c>
      <c r="I1157" s="321">
        <f>IF(year=bargiri[[#This Row],[سال]],1,0)</f>
        <v>0</v>
      </c>
      <c r="X1157" s="1"/>
      <c r="Y1157" s="1"/>
      <c r="Z1157" s="1"/>
    </row>
    <row r="1158" spans="1:26" ht="18.600000000000001" hidden="1" x14ac:dyDescent="0.25">
      <c r="A1158" s="321" t="s">
        <v>430</v>
      </c>
      <c r="B1158" s="321" t="s">
        <v>106</v>
      </c>
      <c r="C1158" s="318" t="s">
        <v>48</v>
      </c>
      <c r="D1158">
        <v>20115</v>
      </c>
      <c r="E1158" s="143">
        <v>65000</v>
      </c>
      <c r="F1158" s="117">
        <v>1403</v>
      </c>
      <c r="G1158" s="321" t="s">
        <v>301</v>
      </c>
      <c r="H1158" s="144">
        <f>bargiri[[#This Row],[میزان بارگیری شده]]*bargiri[[#This Row],[فی]]</f>
        <v>1307475000</v>
      </c>
      <c r="I1158" s="321">
        <f>IF(year=bargiri[[#This Row],[سال]],1,0)</f>
        <v>0</v>
      </c>
      <c r="X1158" s="1"/>
      <c r="Y1158" s="1"/>
      <c r="Z1158" s="1"/>
    </row>
    <row r="1159" spans="1:26" ht="18.600000000000001" hidden="1" x14ac:dyDescent="0.25">
      <c r="A1159" s="321" t="s">
        <v>431</v>
      </c>
      <c r="B1159" s="321" t="s">
        <v>106</v>
      </c>
      <c r="C1159" s="318" t="s">
        <v>48</v>
      </c>
      <c r="D1159">
        <v>20140</v>
      </c>
      <c r="E1159" s="143">
        <v>65000</v>
      </c>
      <c r="F1159" s="117">
        <v>1403</v>
      </c>
      <c r="G1159" s="321" t="s">
        <v>301</v>
      </c>
      <c r="H1159" s="144">
        <f>bargiri[[#This Row],[میزان بارگیری شده]]*bargiri[[#This Row],[فی]]</f>
        <v>1309100000</v>
      </c>
      <c r="I1159" s="321">
        <f>IF(year=bargiri[[#This Row],[سال]],1,0)</f>
        <v>0</v>
      </c>
      <c r="X1159" s="1"/>
      <c r="Y1159" s="1"/>
      <c r="Z1159" s="1"/>
    </row>
    <row r="1160" spans="1:26" ht="18.600000000000001" hidden="1" x14ac:dyDescent="0.25">
      <c r="A1160" s="321" t="s">
        <v>432</v>
      </c>
      <c r="B1160" s="321" t="s">
        <v>99</v>
      </c>
      <c r="C1160" s="318" t="s">
        <v>13</v>
      </c>
      <c r="D1160">
        <v>20635</v>
      </c>
      <c r="E1160" s="143">
        <v>65000</v>
      </c>
      <c r="F1160" s="117">
        <v>1403</v>
      </c>
      <c r="G1160" s="321" t="s">
        <v>300</v>
      </c>
      <c r="H1160" s="144">
        <f>bargiri[[#This Row],[میزان بارگیری شده]]*bargiri[[#This Row],[فی]]</f>
        <v>1341275000</v>
      </c>
      <c r="I1160" s="321">
        <f>IF(year=bargiri[[#This Row],[سال]],1,0)</f>
        <v>0</v>
      </c>
      <c r="X1160" s="1"/>
      <c r="Y1160" s="1"/>
      <c r="Z1160" s="1"/>
    </row>
    <row r="1161" spans="1:26" ht="18.600000000000001" hidden="1" x14ac:dyDescent="0.25">
      <c r="A1161" s="321" t="s">
        <v>397</v>
      </c>
      <c r="B1161" s="321" t="s">
        <v>108</v>
      </c>
      <c r="C1161" s="318" t="s">
        <v>53</v>
      </c>
      <c r="D1161">
        <v>20160</v>
      </c>
      <c r="E1161" s="143">
        <v>70000</v>
      </c>
      <c r="F1161" s="117">
        <v>1403</v>
      </c>
      <c r="G1161" s="321" t="s">
        <v>300</v>
      </c>
      <c r="H1161" s="144">
        <f>bargiri[[#This Row],[میزان بارگیری شده]]*bargiri[[#This Row],[فی]]</f>
        <v>1411200000</v>
      </c>
      <c r="I1161" s="321">
        <f>IF(year=bargiri[[#This Row],[سال]],1,0)</f>
        <v>0</v>
      </c>
      <c r="X1161" s="1"/>
      <c r="Y1161" s="1"/>
      <c r="Z1161" s="1"/>
    </row>
    <row r="1162" spans="1:26" ht="18.600000000000001" hidden="1" x14ac:dyDescent="0.25">
      <c r="A1162" s="321" t="s">
        <v>397</v>
      </c>
      <c r="B1162" s="321" t="s">
        <v>111</v>
      </c>
      <c r="C1162" s="318" t="s">
        <v>59</v>
      </c>
      <c r="D1162">
        <v>9440</v>
      </c>
      <c r="E1162" s="143">
        <v>80000</v>
      </c>
      <c r="F1162" s="117">
        <v>1403</v>
      </c>
      <c r="G1162" s="321" t="s">
        <v>300</v>
      </c>
      <c r="H1162" s="144">
        <f>bargiri[[#This Row],[میزان بارگیری شده]]*bargiri[[#This Row],[فی]]</f>
        <v>755200000</v>
      </c>
      <c r="I1162" s="321">
        <f>IF(year=bargiri[[#This Row],[سال]],1,0)</f>
        <v>0</v>
      </c>
      <c r="X1162" s="1"/>
      <c r="Y1162" s="1"/>
      <c r="Z1162" s="1"/>
    </row>
    <row r="1163" spans="1:26" ht="18.600000000000001" hidden="1" x14ac:dyDescent="0.25">
      <c r="A1163" s="321" t="s">
        <v>397</v>
      </c>
      <c r="B1163" s="321" t="s">
        <v>107</v>
      </c>
      <c r="C1163" s="318" t="s">
        <v>50</v>
      </c>
      <c r="D1163">
        <v>18940</v>
      </c>
      <c r="E1163" s="143">
        <v>70000</v>
      </c>
      <c r="F1163" s="117">
        <v>1403</v>
      </c>
      <c r="G1163" s="321" t="s">
        <v>300</v>
      </c>
      <c r="H1163" s="144">
        <f>bargiri[[#This Row],[میزان بارگیری شده]]*bargiri[[#This Row],[فی]]</f>
        <v>1325800000</v>
      </c>
      <c r="I1163" s="321">
        <f>IF(year=bargiri[[#This Row],[سال]],1,0)</f>
        <v>0</v>
      </c>
      <c r="X1163" s="1"/>
      <c r="Y1163" s="1"/>
      <c r="Z1163" s="1"/>
    </row>
    <row r="1164" spans="1:26" ht="18.600000000000001" hidden="1" x14ac:dyDescent="0.25">
      <c r="A1164" s="321" t="s">
        <v>397</v>
      </c>
      <c r="B1164" s="321" t="s">
        <v>124</v>
      </c>
      <c r="C1164" s="318" t="s">
        <v>94</v>
      </c>
      <c r="D1164">
        <v>21085</v>
      </c>
      <c r="E1164" s="143">
        <v>70000</v>
      </c>
      <c r="F1164" s="117">
        <v>1403</v>
      </c>
      <c r="G1164" s="321" t="s">
        <v>300</v>
      </c>
      <c r="H1164" s="144">
        <f>bargiri[[#This Row],[میزان بارگیری شده]]*bargiri[[#This Row],[فی]]</f>
        <v>1475950000</v>
      </c>
      <c r="I1164" s="321">
        <f>IF(year=bargiri[[#This Row],[سال]],1,0)</f>
        <v>0</v>
      </c>
      <c r="X1164" s="1"/>
      <c r="Y1164" s="1"/>
      <c r="Z1164" s="1"/>
    </row>
    <row r="1165" spans="1:26" ht="18.600000000000001" hidden="1" x14ac:dyDescent="0.25">
      <c r="A1165" s="321" t="s">
        <v>425</v>
      </c>
      <c r="B1165" s="321" t="s">
        <v>115</v>
      </c>
      <c r="C1165" s="318" t="s">
        <v>65</v>
      </c>
      <c r="D1165">
        <v>21935</v>
      </c>
      <c r="E1165" s="143">
        <v>75000</v>
      </c>
      <c r="F1165" s="117">
        <v>1403</v>
      </c>
      <c r="G1165" s="321" t="s">
        <v>300</v>
      </c>
      <c r="H1165" s="144">
        <f>bargiri[[#This Row],[میزان بارگیری شده]]*bargiri[[#This Row],[فی]]</f>
        <v>1645125000</v>
      </c>
      <c r="I1165" s="321">
        <f>IF(year=bargiri[[#This Row],[سال]],1,0)</f>
        <v>0</v>
      </c>
      <c r="X1165" s="1"/>
      <c r="Y1165" s="1"/>
      <c r="Z1165" s="1"/>
    </row>
    <row r="1166" spans="1:26" ht="18.600000000000001" hidden="1" x14ac:dyDescent="0.25">
      <c r="A1166" s="321" t="s">
        <v>425</v>
      </c>
      <c r="B1166" s="321" t="s">
        <v>124</v>
      </c>
      <c r="C1166" s="318" t="s">
        <v>94</v>
      </c>
      <c r="D1166">
        <v>21325</v>
      </c>
      <c r="E1166" s="143">
        <v>70000</v>
      </c>
      <c r="F1166" s="117">
        <v>1403</v>
      </c>
      <c r="G1166" s="321" t="s">
        <v>300</v>
      </c>
      <c r="H1166" s="144">
        <f>bargiri[[#This Row],[میزان بارگیری شده]]*bargiri[[#This Row],[فی]]</f>
        <v>1492750000</v>
      </c>
      <c r="I1166" s="321">
        <f>IF(year=bargiri[[#This Row],[سال]],1,0)</f>
        <v>0</v>
      </c>
      <c r="X1166" s="1"/>
      <c r="Y1166" s="1"/>
      <c r="Z1166" s="1"/>
    </row>
    <row r="1167" spans="1:26" ht="18.600000000000001" hidden="1" x14ac:dyDescent="0.25">
      <c r="A1167" s="321" t="s">
        <v>425</v>
      </c>
      <c r="B1167" s="321" t="s">
        <v>102</v>
      </c>
      <c r="C1167" s="318" t="s">
        <v>26</v>
      </c>
      <c r="D1167">
        <v>11075</v>
      </c>
      <c r="E1167" s="143">
        <v>70000</v>
      </c>
      <c r="F1167" s="117">
        <v>1403</v>
      </c>
      <c r="G1167" s="321" t="s">
        <v>300</v>
      </c>
      <c r="H1167" s="144">
        <f>bargiri[[#This Row],[میزان بارگیری شده]]*bargiri[[#This Row],[فی]]</f>
        <v>775250000</v>
      </c>
      <c r="I1167" s="321">
        <f>IF(year=bargiri[[#This Row],[سال]],1,0)</f>
        <v>0</v>
      </c>
      <c r="W1167" s="1"/>
      <c r="X1167" s="1"/>
      <c r="Y1167" s="1"/>
      <c r="Z1167" s="1"/>
    </row>
    <row r="1168" spans="1:26" ht="18.600000000000001" hidden="1" x14ac:dyDescent="0.25">
      <c r="A1168" s="321" t="s">
        <v>425</v>
      </c>
      <c r="B1168" s="321" t="s">
        <v>104</v>
      </c>
      <c r="C1168" s="318" t="s">
        <v>41</v>
      </c>
      <c r="D1168">
        <v>20510</v>
      </c>
      <c r="E1168" s="143">
        <v>85000</v>
      </c>
      <c r="F1168" s="117">
        <v>1403</v>
      </c>
      <c r="G1168" s="321" t="s">
        <v>300</v>
      </c>
      <c r="H1168" s="144">
        <f>bargiri[[#This Row],[میزان بارگیری شده]]*bargiri[[#This Row],[فی]]</f>
        <v>1743350000</v>
      </c>
      <c r="I1168" s="321">
        <f>IF(year=bargiri[[#This Row],[سال]],1,0)</f>
        <v>0</v>
      </c>
      <c r="W1168" s="1"/>
      <c r="X1168" s="1"/>
      <c r="Y1168" s="1"/>
      <c r="Z1168" s="1"/>
    </row>
    <row r="1169" spans="1:26" ht="18.600000000000001" hidden="1" x14ac:dyDescent="0.25">
      <c r="A1169" s="321" t="s">
        <v>426</v>
      </c>
      <c r="B1169" s="321" t="s">
        <v>117</v>
      </c>
      <c r="C1169" s="318" t="s">
        <v>82</v>
      </c>
      <c r="D1169">
        <v>20170</v>
      </c>
      <c r="E1169" s="143">
        <v>70000</v>
      </c>
      <c r="F1169" s="117">
        <v>1403</v>
      </c>
      <c r="G1169" s="321" t="s">
        <v>300</v>
      </c>
      <c r="H1169" s="144">
        <f>bargiri[[#This Row],[میزان بارگیری شده]]*bargiri[[#This Row],[فی]]</f>
        <v>1411900000</v>
      </c>
      <c r="I1169" s="321">
        <f>IF(year=bargiri[[#This Row],[سال]],1,0)</f>
        <v>0</v>
      </c>
      <c r="W1169" s="1"/>
      <c r="X1169" s="1"/>
      <c r="Y1169" s="1"/>
      <c r="Z1169" s="1"/>
    </row>
    <row r="1170" spans="1:26" ht="18.600000000000001" hidden="1" x14ac:dyDescent="0.25">
      <c r="A1170" s="321" t="s">
        <v>426</v>
      </c>
      <c r="B1170" s="321" t="s">
        <v>107</v>
      </c>
      <c r="C1170" s="318" t="s">
        <v>50</v>
      </c>
      <c r="D1170">
        <v>19115</v>
      </c>
      <c r="E1170" s="143">
        <v>70000</v>
      </c>
      <c r="F1170" s="117">
        <v>1403</v>
      </c>
      <c r="G1170" s="321" t="s">
        <v>300</v>
      </c>
      <c r="H1170" s="144">
        <f>bargiri[[#This Row],[میزان بارگیری شده]]*bargiri[[#This Row],[فی]]</f>
        <v>1338050000</v>
      </c>
      <c r="I1170" s="321">
        <f>IF(year=bargiri[[#This Row],[سال]],1,0)</f>
        <v>0</v>
      </c>
      <c r="W1170" s="1"/>
      <c r="X1170" s="1"/>
      <c r="Y1170" s="1"/>
      <c r="Z1170" s="1"/>
    </row>
    <row r="1171" spans="1:26" ht="18.600000000000001" hidden="1" x14ac:dyDescent="0.25">
      <c r="A1171" s="321" t="s">
        <v>427</v>
      </c>
      <c r="B1171" s="321" t="s">
        <v>107</v>
      </c>
      <c r="C1171" s="318" t="s">
        <v>50</v>
      </c>
      <c r="D1171">
        <v>19105</v>
      </c>
      <c r="E1171" s="143">
        <v>70000</v>
      </c>
      <c r="F1171" s="117">
        <v>1403</v>
      </c>
      <c r="G1171" s="321" t="s">
        <v>300</v>
      </c>
      <c r="H1171" s="144">
        <f>bargiri[[#This Row],[میزان بارگیری شده]]*bargiri[[#This Row],[فی]]</f>
        <v>1337350000</v>
      </c>
      <c r="I1171" s="321">
        <f>IF(year=bargiri[[#This Row],[سال]],1,0)</f>
        <v>0</v>
      </c>
      <c r="W1171" s="1"/>
      <c r="X1171" s="1"/>
      <c r="Y1171" s="1"/>
      <c r="Z1171" s="1"/>
    </row>
    <row r="1172" spans="1:26" ht="18.600000000000001" hidden="1" x14ac:dyDescent="0.25">
      <c r="A1172" s="321" t="s">
        <v>427</v>
      </c>
      <c r="B1172" s="321" t="s">
        <v>104</v>
      </c>
      <c r="C1172" s="318" t="s">
        <v>41</v>
      </c>
      <c r="D1172">
        <v>18250</v>
      </c>
      <c r="E1172" s="143">
        <v>85000</v>
      </c>
      <c r="F1172" s="117">
        <v>1403</v>
      </c>
      <c r="G1172" s="321" t="s">
        <v>300</v>
      </c>
      <c r="H1172" s="144">
        <f>bargiri[[#This Row],[میزان بارگیری شده]]*bargiri[[#This Row],[فی]]</f>
        <v>1551250000</v>
      </c>
      <c r="I1172" s="321">
        <f>IF(year=bargiri[[#This Row],[سال]],1,0)</f>
        <v>0</v>
      </c>
      <c r="W1172" s="1"/>
      <c r="X1172" s="1"/>
      <c r="Y1172" s="1"/>
      <c r="Z1172" s="1"/>
    </row>
    <row r="1173" spans="1:26" ht="18.600000000000001" hidden="1" x14ac:dyDescent="0.25">
      <c r="A1173" s="321" t="s">
        <v>428</v>
      </c>
      <c r="B1173" s="321" t="s">
        <v>102</v>
      </c>
      <c r="C1173" s="318" t="s">
        <v>26</v>
      </c>
      <c r="D1173">
        <v>10115</v>
      </c>
      <c r="E1173" s="143">
        <v>70000</v>
      </c>
      <c r="F1173" s="117">
        <v>1403</v>
      </c>
      <c r="G1173" s="321" t="s">
        <v>300</v>
      </c>
      <c r="H1173" s="144">
        <f>bargiri[[#This Row],[میزان بارگیری شده]]*bargiri[[#This Row],[فی]]</f>
        <v>708050000</v>
      </c>
      <c r="I1173" s="321">
        <f>IF(year=bargiri[[#This Row],[سال]],1,0)</f>
        <v>0</v>
      </c>
      <c r="W1173" s="1"/>
      <c r="X1173" s="1"/>
      <c r="Y1173" s="1"/>
      <c r="Z1173" s="1"/>
    </row>
    <row r="1174" spans="1:26" ht="18.600000000000001" hidden="1" x14ac:dyDescent="0.25">
      <c r="A1174" s="321" t="s">
        <v>428</v>
      </c>
      <c r="B1174" s="321" t="s">
        <v>107</v>
      </c>
      <c r="C1174" s="318" t="s">
        <v>50</v>
      </c>
      <c r="D1174">
        <v>20135</v>
      </c>
      <c r="E1174" s="143">
        <v>70000</v>
      </c>
      <c r="F1174" s="117">
        <v>1403</v>
      </c>
      <c r="G1174" s="321" t="s">
        <v>300</v>
      </c>
      <c r="H1174" s="144">
        <f>bargiri[[#This Row],[میزان بارگیری شده]]*bargiri[[#This Row],[فی]]</f>
        <v>1409450000</v>
      </c>
      <c r="I1174" s="321">
        <f>IF(year=bargiri[[#This Row],[سال]],1,0)</f>
        <v>0</v>
      </c>
      <c r="W1174" s="1"/>
      <c r="X1174" s="1"/>
      <c r="Y1174" s="1"/>
      <c r="Z1174" s="1"/>
    </row>
    <row r="1175" spans="1:26" ht="18.600000000000001" hidden="1" x14ac:dyDescent="0.25">
      <c r="A1175" s="321" t="s">
        <v>428</v>
      </c>
      <c r="B1175" s="321" t="s">
        <v>116</v>
      </c>
      <c r="C1175" s="318" t="s">
        <v>77</v>
      </c>
      <c r="D1175">
        <v>20270</v>
      </c>
      <c r="E1175" s="143">
        <v>68500</v>
      </c>
      <c r="F1175" s="117">
        <v>1403</v>
      </c>
      <c r="G1175" s="321" t="s">
        <v>300</v>
      </c>
      <c r="H1175" s="144">
        <f>bargiri[[#This Row],[میزان بارگیری شده]]*bargiri[[#This Row],[فی]]</f>
        <v>1388495000</v>
      </c>
      <c r="I1175" s="321">
        <f>IF(year=bargiri[[#This Row],[سال]],1,0)</f>
        <v>0</v>
      </c>
      <c r="W1175" s="1"/>
      <c r="X1175" s="1"/>
      <c r="Y1175" s="1"/>
      <c r="Z1175" s="1"/>
    </row>
    <row r="1176" spans="1:26" ht="18.600000000000001" hidden="1" x14ac:dyDescent="0.25">
      <c r="A1176" s="321" t="s">
        <v>433</v>
      </c>
      <c r="B1176" s="321" t="s">
        <v>116</v>
      </c>
      <c r="C1176" s="318" t="s">
        <v>77</v>
      </c>
      <c r="D1176">
        <v>20130</v>
      </c>
      <c r="E1176" s="143">
        <v>68500</v>
      </c>
      <c r="F1176" s="117">
        <v>1403</v>
      </c>
      <c r="G1176" s="321" t="s">
        <v>301</v>
      </c>
      <c r="H1176" s="144">
        <f>bargiri[[#This Row],[میزان بارگیری شده]]*bargiri[[#This Row],[فی]]</f>
        <v>1378905000</v>
      </c>
      <c r="I1176" s="321">
        <f>IF(year=bargiri[[#This Row],[سال]],1,0)</f>
        <v>0</v>
      </c>
      <c r="W1176" s="1"/>
      <c r="X1176" s="1"/>
      <c r="Y1176" s="1"/>
      <c r="Z1176" s="1"/>
    </row>
    <row r="1177" spans="1:26" ht="18.600000000000001" hidden="1" x14ac:dyDescent="0.25">
      <c r="A1177" s="321" t="s">
        <v>433</v>
      </c>
      <c r="B1177" s="321" t="s">
        <v>116</v>
      </c>
      <c r="C1177" s="318" t="s">
        <v>77</v>
      </c>
      <c r="D1177">
        <v>20120</v>
      </c>
      <c r="E1177" s="143">
        <v>68500</v>
      </c>
      <c r="F1177" s="117">
        <v>1403</v>
      </c>
      <c r="G1177" s="321" t="s">
        <v>301</v>
      </c>
      <c r="H1177" s="144">
        <f>bargiri[[#This Row],[میزان بارگیری شده]]*bargiri[[#This Row],[فی]]</f>
        <v>1378220000</v>
      </c>
      <c r="I1177" s="321">
        <f>IF(year=bargiri[[#This Row],[سال]],1,0)</f>
        <v>0</v>
      </c>
      <c r="W1177" s="1"/>
      <c r="X1177" s="1"/>
      <c r="Y1177" s="1"/>
      <c r="Z1177" s="1"/>
    </row>
    <row r="1178" spans="1:26" ht="18.600000000000001" hidden="1" x14ac:dyDescent="0.25">
      <c r="A1178" s="321" t="s">
        <v>433</v>
      </c>
      <c r="B1178" s="321" t="s">
        <v>99</v>
      </c>
      <c r="C1178" s="318" t="s">
        <v>13</v>
      </c>
      <c r="D1178">
        <v>18415</v>
      </c>
      <c r="E1178" s="143">
        <v>65000</v>
      </c>
      <c r="F1178" s="117">
        <v>1403</v>
      </c>
      <c r="G1178" s="321" t="s">
        <v>301</v>
      </c>
      <c r="H1178" s="144">
        <f>bargiri[[#This Row],[میزان بارگیری شده]]*bargiri[[#This Row],[فی]]</f>
        <v>1196975000</v>
      </c>
      <c r="I1178" s="321">
        <f>IF(year=bargiri[[#This Row],[سال]],1,0)</f>
        <v>0</v>
      </c>
      <c r="W1178" s="1"/>
      <c r="X1178" s="1"/>
      <c r="Y1178" s="1"/>
      <c r="Z1178" s="1"/>
    </row>
    <row r="1179" spans="1:26" ht="18.600000000000001" hidden="1" x14ac:dyDescent="0.25">
      <c r="A1179" s="321" t="s">
        <v>433</v>
      </c>
      <c r="B1179" s="321" t="s">
        <v>107</v>
      </c>
      <c r="C1179" s="318" t="s">
        <v>50</v>
      </c>
      <c r="D1179">
        <v>20120</v>
      </c>
      <c r="E1179" s="143">
        <v>70000</v>
      </c>
      <c r="F1179" s="117">
        <v>1403</v>
      </c>
      <c r="G1179" s="321" t="s">
        <v>301</v>
      </c>
      <c r="H1179" s="144">
        <f>bargiri[[#This Row],[میزان بارگیری شده]]*bargiri[[#This Row],[فی]]</f>
        <v>1408400000</v>
      </c>
      <c r="I1179" s="321">
        <f>IF(year=bargiri[[#This Row],[سال]],1,0)</f>
        <v>0</v>
      </c>
      <c r="W1179" s="1"/>
      <c r="X1179" s="1"/>
      <c r="Y1179" s="1"/>
      <c r="Z1179" s="1"/>
    </row>
    <row r="1180" spans="1:26" ht="18.600000000000001" hidden="1" x14ac:dyDescent="0.25">
      <c r="A1180" s="321" t="s">
        <v>221</v>
      </c>
      <c r="B1180" s="321" t="s">
        <v>116</v>
      </c>
      <c r="C1180" s="318" t="s">
        <v>77</v>
      </c>
      <c r="E1180" s="143">
        <v>0</v>
      </c>
      <c r="F1180" s="117">
        <v>1403</v>
      </c>
      <c r="G1180" s="321" t="s">
        <v>301</v>
      </c>
      <c r="H1180" s="144">
        <f>bargiri[[#This Row],[میزان بارگیری شده]]*bargiri[[#This Row],[فی]]</f>
        <v>0</v>
      </c>
      <c r="I1180" s="321">
        <f>IF(year=bargiri[[#This Row],[سال]],1,0)</f>
        <v>0</v>
      </c>
      <c r="W1180" s="1"/>
      <c r="X1180" s="1"/>
      <c r="Y1180" s="1"/>
      <c r="Z1180" s="1"/>
    </row>
    <row r="1181" spans="1:26" ht="18.600000000000001" hidden="1" x14ac:dyDescent="0.25">
      <c r="A1181" s="321" t="s">
        <v>228</v>
      </c>
      <c r="B1181" s="321" t="s">
        <v>116</v>
      </c>
      <c r="C1181" s="318" t="s">
        <v>77</v>
      </c>
      <c r="D1181">
        <v>19995</v>
      </c>
      <c r="E1181" s="143">
        <v>68500</v>
      </c>
      <c r="F1181" s="117">
        <v>1403</v>
      </c>
      <c r="G1181" s="321" t="s">
        <v>301</v>
      </c>
      <c r="H1181" s="144">
        <f>bargiri[[#This Row],[میزان بارگیری شده]]*bargiri[[#This Row],[فی]]</f>
        <v>1369657500</v>
      </c>
      <c r="I1181" s="321">
        <f>IF(year=bargiri[[#This Row],[سال]],1,0)</f>
        <v>0</v>
      </c>
      <c r="W1181" s="1"/>
      <c r="X1181" s="1"/>
      <c r="Y1181" s="1"/>
      <c r="Z1181" s="1"/>
    </row>
    <row r="1182" spans="1:26" ht="18.600000000000001" hidden="1" x14ac:dyDescent="0.25">
      <c r="A1182" s="321" t="s">
        <v>228</v>
      </c>
      <c r="B1182" s="321" t="s">
        <v>104</v>
      </c>
      <c r="C1182" s="318" t="s">
        <v>41</v>
      </c>
      <c r="D1182">
        <v>17945</v>
      </c>
      <c r="E1182" s="143">
        <v>85000</v>
      </c>
      <c r="F1182" s="117">
        <v>1403</v>
      </c>
      <c r="G1182" s="321" t="s">
        <v>301</v>
      </c>
      <c r="H1182" s="144">
        <f>bargiri[[#This Row],[میزان بارگیری شده]]*bargiri[[#This Row],[فی]]</f>
        <v>1525325000</v>
      </c>
      <c r="I1182" s="321">
        <f>IF(year=bargiri[[#This Row],[سال]],1,0)</f>
        <v>0</v>
      </c>
      <c r="W1182" s="1"/>
      <c r="X1182" s="1"/>
      <c r="Y1182" s="1"/>
      <c r="Z1182" s="1"/>
    </row>
    <row r="1183" spans="1:26" ht="18.600000000000001" hidden="1" x14ac:dyDescent="0.25">
      <c r="A1183" s="321" t="s">
        <v>228</v>
      </c>
      <c r="B1183" s="321" t="s">
        <v>119</v>
      </c>
      <c r="C1183" s="318" t="s">
        <v>87</v>
      </c>
      <c r="D1183">
        <v>20065</v>
      </c>
      <c r="E1183" s="143">
        <v>75000</v>
      </c>
      <c r="F1183" s="117">
        <v>1403</v>
      </c>
      <c r="G1183" s="321" t="s">
        <v>301</v>
      </c>
      <c r="H1183" s="144">
        <f>bargiri[[#This Row],[میزان بارگیری شده]]*bargiri[[#This Row],[فی]]</f>
        <v>1504875000</v>
      </c>
      <c r="I1183" s="321">
        <f>IF(year=bargiri[[#This Row],[سال]],1,0)</f>
        <v>0</v>
      </c>
      <c r="W1183" s="1"/>
      <c r="X1183" s="1"/>
      <c r="Y1183" s="1"/>
      <c r="Z1183" s="1"/>
    </row>
    <row r="1184" spans="1:26" ht="18.600000000000001" hidden="1" x14ac:dyDescent="0.25">
      <c r="A1184" s="321" t="s">
        <v>228</v>
      </c>
      <c r="B1184" s="321" t="s">
        <v>115</v>
      </c>
      <c r="C1184" s="318" t="s">
        <v>65</v>
      </c>
      <c r="D1184">
        <v>22105</v>
      </c>
      <c r="E1184" s="143">
        <v>75000</v>
      </c>
      <c r="F1184" s="117">
        <v>1403</v>
      </c>
      <c r="G1184" s="321" t="s">
        <v>301</v>
      </c>
      <c r="H1184" s="144">
        <f>bargiri[[#This Row],[میزان بارگیری شده]]*bargiri[[#This Row],[فی]]</f>
        <v>1657875000</v>
      </c>
      <c r="I1184" s="321">
        <f>IF(year=bargiri[[#This Row],[سال]],1,0)</f>
        <v>0</v>
      </c>
      <c r="W1184" s="1"/>
      <c r="X1184" s="1"/>
      <c r="Y1184" s="1"/>
      <c r="Z1184" s="1"/>
    </row>
    <row r="1185" spans="1:26" ht="18.600000000000001" hidden="1" x14ac:dyDescent="0.25">
      <c r="A1185" s="321" t="s">
        <v>228</v>
      </c>
      <c r="B1185" s="321" t="s">
        <v>107</v>
      </c>
      <c r="C1185" s="318" t="s">
        <v>50</v>
      </c>
      <c r="D1185">
        <v>20040</v>
      </c>
      <c r="E1185" s="143">
        <v>70000</v>
      </c>
      <c r="F1185" s="117">
        <v>1403</v>
      </c>
      <c r="G1185" s="321" t="s">
        <v>301</v>
      </c>
      <c r="H1185" s="144">
        <f>bargiri[[#This Row],[میزان بارگیری شده]]*bargiri[[#This Row],[فی]]</f>
        <v>1402800000</v>
      </c>
      <c r="I1185" s="321">
        <f>IF(year=bargiri[[#This Row],[سال]],1,0)</f>
        <v>0</v>
      </c>
      <c r="W1185" s="1"/>
      <c r="X1185" s="1"/>
      <c r="Y1185" s="1"/>
      <c r="Z1185" s="1"/>
    </row>
    <row r="1186" spans="1:26" ht="18.600000000000001" hidden="1" x14ac:dyDescent="0.25">
      <c r="A1186" s="321" t="s">
        <v>228</v>
      </c>
      <c r="B1186" s="321" t="s">
        <v>117</v>
      </c>
      <c r="C1186" s="318" t="s">
        <v>82</v>
      </c>
      <c r="D1186">
        <v>19985</v>
      </c>
      <c r="E1186" s="143">
        <v>70000</v>
      </c>
      <c r="F1186" s="117">
        <v>1403</v>
      </c>
      <c r="G1186" s="321" t="s">
        <v>301</v>
      </c>
      <c r="H1186" s="144">
        <f>bargiri[[#This Row],[میزان بارگیری شده]]*bargiri[[#This Row],[فی]]</f>
        <v>1398950000</v>
      </c>
      <c r="I1186" s="321">
        <f>IF(year=bargiri[[#This Row],[سال]],1,0)</f>
        <v>0</v>
      </c>
      <c r="W1186" s="1"/>
      <c r="X1186" s="1"/>
      <c r="Y1186" s="1"/>
      <c r="Z1186" s="1"/>
    </row>
    <row r="1187" spans="1:26" ht="18.600000000000001" hidden="1" x14ac:dyDescent="0.25">
      <c r="A1187" s="321" t="s">
        <v>158</v>
      </c>
      <c r="B1187" s="321" t="s">
        <v>106</v>
      </c>
      <c r="C1187" s="318" t="s">
        <v>47</v>
      </c>
      <c r="D1187">
        <v>21120</v>
      </c>
      <c r="E1187" s="143">
        <v>50000</v>
      </c>
      <c r="F1187" s="117">
        <v>1403</v>
      </c>
      <c r="G1187" s="321" t="s">
        <v>295</v>
      </c>
      <c r="H1187" s="144">
        <f>bargiri[[#This Row],[میزان بارگیری شده]]*bargiri[[#This Row],[فی]]</f>
        <v>1056000000</v>
      </c>
      <c r="I1187" s="321">
        <f>IF(year=bargiri[[#This Row],[سال]],1,0)</f>
        <v>0</v>
      </c>
      <c r="W1187" s="1"/>
      <c r="X1187" s="1"/>
      <c r="Y1187" s="1"/>
      <c r="Z1187" s="1"/>
    </row>
    <row r="1188" spans="1:26" ht="18.600000000000001" hidden="1" x14ac:dyDescent="0.25">
      <c r="A1188" s="321" t="s">
        <v>434</v>
      </c>
      <c r="B1188" s="321" t="s">
        <v>116</v>
      </c>
      <c r="C1188" s="318" t="s">
        <v>77</v>
      </c>
      <c r="D1188">
        <v>12010</v>
      </c>
      <c r="E1188" s="143">
        <v>68500</v>
      </c>
      <c r="F1188" s="117">
        <v>1403</v>
      </c>
      <c r="G1188" s="321" t="s">
        <v>301</v>
      </c>
      <c r="H1188" s="144">
        <f>bargiri[[#This Row],[میزان بارگیری شده]]*bargiri[[#This Row],[فی]]</f>
        <v>822685000</v>
      </c>
      <c r="I1188" s="321">
        <f>IF(year=bargiri[[#This Row],[سال]],1,0)</f>
        <v>0</v>
      </c>
      <c r="W1188" s="1"/>
      <c r="X1188" s="1"/>
      <c r="Y1188" s="1"/>
      <c r="Z1188" s="1"/>
    </row>
    <row r="1189" spans="1:26" ht="18.600000000000001" hidden="1" x14ac:dyDescent="0.25">
      <c r="A1189" s="321" t="s">
        <v>434</v>
      </c>
      <c r="B1189" s="321" t="s">
        <v>116</v>
      </c>
      <c r="C1189" s="318" t="s">
        <v>77</v>
      </c>
      <c r="D1189">
        <v>19910</v>
      </c>
      <c r="E1189" s="143">
        <v>68500</v>
      </c>
      <c r="F1189" s="117">
        <v>1403</v>
      </c>
      <c r="G1189" s="321" t="s">
        <v>301</v>
      </c>
      <c r="H1189" s="144">
        <f>bargiri[[#This Row],[میزان بارگیری شده]]*bargiri[[#This Row],[فی]]</f>
        <v>1363835000</v>
      </c>
      <c r="I1189" s="321">
        <f>IF(year=bargiri[[#This Row],[سال]],1,0)</f>
        <v>0</v>
      </c>
      <c r="W1189" s="1"/>
      <c r="X1189" s="1"/>
      <c r="Y1189" s="1"/>
      <c r="Z1189" s="1"/>
    </row>
    <row r="1190" spans="1:26" ht="18.600000000000001" hidden="1" x14ac:dyDescent="0.25">
      <c r="A1190" s="321" t="s">
        <v>434</v>
      </c>
      <c r="B1190" s="321" t="s">
        <v>111</v>
      </c>
      <c r="C1190" s="318" t="s">
        <v>59</v>
      </c>
      <c r="D1190">
        <v>10080</v>
      </c>
      <c r="E1190" s="143">
        <v>80000</v>
      </c>
      <c r="F1190" s="117">
        <v>1403</v>
      </c>
      <c r="G1190" s="321" t="s">
        <v>301</v>
      </c>
      <c r="H1190" s="144">
        <f>bargiri[[#This Row],[میزان بارگیری شده]]*bargiri[[#This Row],[فی]]</f>
        <v>806400000</v>
      </c>
      <c r="I1190" s="321">
        <f>IF(year=bargiri[[#This Row],[سال]],1,0)</f>
        <v>0</v>
      </c>
      <c r="W1190" s="1"/>
      <c r="X1190" s="1"/>
      <c r="Y1190" s="1"/>
      <c r="Z1190" s="1"/>
    </row>
    <row r="1191" spans="1:26" ht="18.600000000000001" hidden="1" x14ac:dyDescent="0.25">
      <c r="A1191" s="321" t="s">
        <v>434</v>
      </c>
      <c r="B1191" s="321" t="s">
        <v>107</v>
      </c>
      <c r="C1191" s="318" t="s">
        <v>50</v>
      </c>
      <c r="D1191">
        <v>20125</v>
      </c>
      <c r="E1191" s="143">
        <v>70000</v>
      </c>
      <c r="F1191" s="117">
        <v>1403</v>
      </c>
      <c r="G1191" s="321" t="s">
        <v>301</v>
      </c>
      <c r="H1191" s="144">
        <f>bargiri[[#This Row],[میزان بارگیری شده]]*bargiri[[#This Row],[فی]]</f>
        <v>1408750000</v>
      </c>
      <c r="I1191" s="321">
        <f>IF(year=bargiri[[#This Row],[سال]],1,0)</f>
        <v>0</v>
      </c>
      <c r="W1191" s="1"/>
      <c r="X1191" s="1"/>
      <c r="Y1191" s="1"/>
      <c r="Z1191" s="1"/>
    </row>
    <row r="1192" spans="1:26" ht="18.600000000000001" hidden="1" x14ac:dyDescent="0.25">
      <c r="A1192" s="321" t="s">
        <v>434</v>
      </c>
      <c r="B1192" s="321" t="s">
        <v>99</v>
      </c>
      <c r="C1192" s="318" t="s">
        <v>13</v>
      </c>
      <c r="D1192">
        <v>18580</v>
      </c>
      <c r="E1192" s="143">
        <v>65000</v>
      </c>
      <c r="F1192" s="117">
        <v>1403</v>
      </c>
      <c r="G1192" s="321" t="s">
        <v>301</v>
      </c>
      <c r="H1192" s="144">
        <f>bargiri[[#This Row],[میزان بارگیری شده]]*bargiri[[#This Row],[فی]]</f>
        <v>1207700000</v>
      </c>
      <c r="I1192" s="321">
        <f>IF(year=bargiri[[#This Row],[سال]],1,0)</f>
        <v>0</v>
      </c>
      <c r="W1192" s="1"/>
      <c r="X1192" s="1"/>
      <c r="Y1192" s="1"/>
      <c r="Z1192" s="1"/>
    </row>
    <row r="1193" spans="1:26" ht="18.600000000000001" hidden="1" x14ac:dyDescent="0.25">
      <c r="A1193" s="321" t="s">
        <v>176</v>
      </c>
      <c r="B1193" s="321" t="s">
        <v>115</v>
      </c>
      <c r="C1193" s="318" t="s">
        <v>65</v>
      </c>
      <c r="D1193">
        <v>22050</v>
      </c>
      <c r="E1193" s="143">
        <v>75000</v>
      </c>
      <c r="F1193" s="117">
        <v>1403</v>
      </c>
      <c r="G1193" s="321" t="s">
        <v>301</v>
      </c>
      <c r="H1193" s="144">
        <f>bargiri[[#This Row],[میزان بارگیری شده]]*bargiri[[#This Row],[فی]]</f>
        <v>1653750000</v>
      </c>
      <c r="I1193" s="321">
        <f>IF(year=bargiri[[#This Row],[سال]],1,0)</f>
        <v>0</v>
      </c>
    </row>
    <row r="1194" spans="1:26" ht="18.600000000000001" hidden="1" x14ac:dyDescent="0.25">
      <c r="A1194" s="321" t="s">
        <v>176</v>
      </c>
      <c r="B1194" s="321" t="s">
        <v>99</v>
      </c>
      <c r="C1194" s="318" t="s">
        <v>13</v>
      </c>
      <c r="D1194">
        <v>18070</v>
      </c>
      <c r="E1194" s="143">
        <v>65000</v>
      </c>
      <c r="F1194" s="117">
        <v>1403</v>
      </c>
      <c r="G1194" s="321" t="s">
        <v>301</v>
      </c>
      <c r="H1194" s="144">
        <f>bargiri[[#This Row],[میزان بارگیری شده]]*bargiri[[#This Row],[فی]]</f>
        <v>1174550000</v>
      </c>
      <c r="I1194" s="321">
        <f>IF(year=bargiri[[#This Row],[سال]],1,0)</f>
        <v>0</v>
      </c>
    </row>
    <row r="1195" spans="1:26" ht="18.600000000000001" hidden="1" x14ac:dyDescent="0.25">
      <c r="A1195" s="321" t="s">
        <v>429</v>
      </c>
      <c r="B1195" s="321" t="s">
        <v>107</v>
      </c>
      <c r="C1195" s="318" t="s">
        <v>50</v>
      </c>
      <c r="D1195">
        <v>20085</v>
      </c>
      <c r="E1195" s="143">
        <v>70000</v>
      </c>
      <c r="F1195" s="117">
        <v>1403</v>
      </c>
      <c r="G1195" s="321" t="s">
        <v>301</v>
      </c>
      <c r="H1195" s="144">
        <f>bargiri[[#This Row],[میزان بارگیری شده]]*bargiri[[#This Row],[فی]]</f>
        <v>1405950000</v>
      </c>
      <c r="I1195" s="321">
        <f>IF(year=bargiri[[#This Row],[سال]],1,0)</f>
        <v>0</v>
      </c>
    </row>
    <row r="1196" spans="1:26" ht="18.600000000000001" hidden="1" x14ac:dyDescent="0.25">
      <c r="A1196" s="321" t="s">
        <v>429</v>
      </c>
      <c r="B1196" s="321" t="s">
        <v>99</v>
      </c>
      <c r="C1196" s="318" t="s">
        <v>13</v>
      </c>
      <c r="D1196">
        <v>19005</v>
      </c>
      <c r="E1196" s="143">
        <v>65000</v>
      </c>
      <c r="F1196" s="117">
        <v>1403</v>
      </c>
      <c r="G1196" s="321" t="s">
        <v>301</v>
      </c>
      <c r="H1196" s="144">
        <f>bargiri[[#This Row],[میزان بارگیری شده]]*bargiri[[#This Row],[فی]]</f>
        <v>1235325000</v>
      </c>
      <c r="I1196" s="321">
        <f>IF(year=bargiri[[#This Row],[سال]],1,0)</f>
        <v>0</v>
      </c>
    </row>
    <row r="1197" spans="1:26" ht="18.600000000000001" hidden="1" x14ac:dyDescent="0.25">
      <c r="A1197" s="321" t="s">
        <v>429</v>
      </c>
      <c r="B1197" s="321" t="s">
        <v>116</v>
      </c>
      <c r="C1197" s="318" t="s">
        <v>77</v>
      </c>
      <c r="D1197">
        <v>20150</v>
      </c>
      <c r="E1197" s="143">
        <v>68500</v>
      </c>
      <c r="F1197" s="117">
        <v>1403</v>
      </c>
      <c r="G1197" s="321" t="s">
        <v>301</v>
      </c>
      <c r="H1197" s="144">
        <f>bargiri[[#This Row],[میزان بارگیری شده]]*bargiri[[#This Row],[فی]]</f>
        <v>1380275000</v>
      </c>
      <c r="I1197" s="321">
        <f>IF(year=bargiri[[#This Row],[سال]],1,0)</f>
        <v>0</v>
      </c>
    </row>
    <row r="1198" spans="1:26" ht="18.600000000000001" hidden="1" x14ac:dyDescent="0.25">
      <c r="A1198" s="321" t="s">
        <v>429</v>
      </c>
      <c r="B1198" s="321" t="s">
        <v>104</v>
      </c>
      <c r="C1198" s="318" t="s">
        <v>41</v>
      </c>
      <c r="D1198">
        <v>18140</v>
      </c>
      <c r="E1198" s="143">
        <v>85000</v>
      </c>
      <c r="F1198" s="117">
        <v>1403</v>
      </c>
      <c r="G1198" s="321" t="s">
        <v>301</v>
      </c>
      <c r="H1198" s="144">
        <f>bargiri[[#This Row],[میزان بارگیری شده]]*bargiri[[#This Row],[فی]]</f>
        <v>1541900000</v>
      </c>
      <c r="I1198" s="321">
        <f>IF(year=bargiri[[#This Row],[سال]],1,0)</f>
        <v>0</v>
      </c>
    </row>
    <row r="1199" spans="1:26" ht="18.600000000000001" hidden="1" x14ac:dyDescent="0.25">
      <c r="A1199" s="321" t="s">
        <v>181</v>
      </c>
      <c r="B1199" s="321" t="s">
        <v>116</v>
      </c>
      <c r="C1199" s="318" t="s">
        <v>77</v>
      </c>
      <c r="D1199">
        <v>20005</v>
      </c>
      <c r="E1199" s="143">
        <v>68500</v>
      </c>
      <c r="F1199" s="117">
        <v>1403</v>
      </c>
      <c r="G1199" s="321" t="s">
        <v>301</v>
      </c>
      <c r="H1199" s="144">
        <f>bargiri[[#This Row],[میزان بارگیری شده]]*bargiri[[#This Row],[فی]]</f>
        <v>1370342500</v>
      </c>
      <c r="I1199" s="321">
        <f>IF(year=bargiri[[#This Row],[سال]],1,0)</f>
        <v>0</v>
      </c>
    </row>
    <row r="1200" spans="1:26" ht="18.600000000000001" hidden="1" x14ac:dyDescent="0.25">
      <c r="A1200" s="321" t="s">
        <v>181</v>
      </c>
      <c r="B1200" s="321" t="s">
        <v>116</v>
      </c>
      <c r="C1200" s="318" t="s">
        <v>77</v>
      </c>
      <c r="D1200">
        <v>20050</v>
      </c>
      <c r="E1200" s="143">
        <v>68500</v>
      </c>
      <c r="F1200" s="117">
        <v>1403</v>
      </c>
      <c r="G1200" s="321" t="s">
        <v>301</v>
      </c>
      <c r="H1200" s="144">
        <f>bargiri[[#This Row],[میزان بارگیری شده]]*bargiri[[#This Row],[فی]]</f>
        <v>1373425000</v>
      </c>
      <c r="I1200" s="321">
        <f>IF(year=bargiri[[#This Row],[سال]],1,0)</f>
        <v>0</v>
      </c>
    </row>
    <row r="1201" spans="1:9" ht="18.600000000000001" hidden="1" x14ac:dyDescent="0.25">
      <c r="A1201" s="321" t="s">
        <v>181</v>
      </c>
      <c r="B1201" s="321" t="s">
        <v>102</v>
      </c>
      <c r="C1201" s="318" t="s">
        <v>26</v>
      </c>
      <c r="D1201">
        <v>10140</v>
      </c>
      <c r="E1201" s="143">
        <v>70000</v>
      </c>
      <c r="F1201" s="117">
        <v>1403</v>
      </c>
      <c r="G1201" s="321" t="s">
        <v>301</v>
      </c>
      <c r="H1201" s="144">
        <f>bargiri[[#This Row],[میزان بارگیری شده]]*bargiri[[#This Row],[فی]]</f>
        <v>709800000</v>
      </c>
      <c r="I1201" s="321">
        <f>IF(year=bargiri[[#This Row],[سال]],1,0)</f>
        <v>0</v>
      </c>
    </row>
    <row r="1202" spans="1:9" ht="18.600000000000001" hidden="1" x14ac:dyDescent="0.25">
      <c r="A1202" s="321" t="s">
        <v>181</v>
      </c>
      <c r="B1202" s="321" t="s">
        <v>107</v>
      </c>
      <c r="C1202" s="318" t="s">
        <v>50</v>
      </c>
      <c r="D1202">
        <v>20065</v>
      </c>
      <c r="E1202" s="143">
        <v>70000</v>
      </c>
      <c r="F1202" s="117">
        <v>1403</v>
      </c>
      <c r="G1202" s="321" t="s">
        <v>301</v>
      </c>
      <c r="H1202" s="144">
        <f>bargiri[[#This Row],[میزان بارگیری شده]]*bargiri[[#This Row],[فی]]</f>
        <v>1404550000</v>
      </c>
      <c r="I1202" s="321">
        <f>IF(year=bargiri[[#This Row],[سال]],1,0)</f>
        <v>0</v>
      </c>
    </row>
    <row r="1203" spans="1:9" ht="18.600000000000001" hidden="1" x14ac:dyDescent="0.25">
      <c r="A1203" s="321" t="s">
        <v>181</v>
      </c>
      <c r="B1203" s="321" t="s">
        <v>111</v>
      </c>
      <c r="C1203" s="318" t="s">
        <v>59</v>
      </c>
      <c r="D1203">
        <v>9925</v>
      </c>
      <c r="E1203" s="143">
        <v>80000</v>
      </c>
      <c r="F1203" s="117">
        <v>1403</v>
      </c>
      <c r="G1203" s="321" t="s">
        <v>301</v>
      </c>
      <c r="H1203" s="144">
        <f>bargiri[[#This Row],[میزان بارگیری شده]]*bargiri[[#This Row],[فی]]</f>
        <v>794000000</v>
      </c>
      <c r="I1203" s="321">
        <f>IF(year=bargiri[[#This Row],[سال]],1,0)</f>
        <v>0</v>
      </c>
    </row>
    <row r="1204" spans="1:9" ht="18.600000000000001" hidden="1" x14ac:dyDescent="0.25">
      <c r="A1204" s="321" t="s">
        <v>435</v>
      </c>
      <c r="B1204" s="321" t="s">
        <v>116</v>
      </c>
      <c r="C1204" s="318" t="s">
        <v>77</v>
      </c>
      <c r="D1204">
        <v>18780</v>
      </c>
      <c r="E1204" s="143">
        <v>68500</v>
      </c>
      <c r="F1204" s="117">
        <v>1403</v>
      </c>
      <c r="G1204" s="321" t="s">
        <v>301</v>
      </c>
      <c r="H1204" s="144">
        <f>bargiri[[#This Row],[میزان بارگیری شده]]*bargiri[[#This Row],[فی]]</f>
        <v>1286430000</v>
      </c>
      <c r="I1204" s="321">
        <f>IF(year=bargiri[[#This Row],[سال]],1,0)</f>
        <v>0</v>
      </c>
    </row>
    <row r="1205" spans="1:9" ht="18.600000000000001" hidden="1" x14ac:dyDescent="0.25">
      <c r="A1205" s="321" t="s">
        <v>435</v>
      </c>
      <c r="B1205" s="321" t="s">
        <v>110</v>
      </c>
      <c r="C1205" s="318" t="s">
        <v>57</v>
      </c>
      <c r="D1205">
        <v>19970</v>
      </c>
      <c r="E1205" s="143">
        <v>78000</v>
      </c>
      <c r="F1205" s="117">
        <v>1403</v>
      </c>
      <c r="G1205" s="321" t="s">
        <v>301</v>
      </c>
      <c r="H1205" s="144">
        <f>bargiri[[#This Row],[میزان بارگیری شده]]*bargiri[[#This Row],[فی]]</f>
        <v>1557660000</v>
      </c>
      <c r="I1205" s="321">
        <f>IF(year=bargiri[[#This Row],[سال]],1,0)</f>
        <v>0</v>
      </c>
    </row>
    <row r="1206" spans="1:9" ht="18.600000000000001" hidden="1" x14ac:dyDescent="0.25">
      <c r="A1206" s="321" t="s">
        <v>436</v>
      </c>
      <c r="B1206" s="321" t="s">
        <v>104</v>
      </c>
      <c r="C1206" s="318" t="s">
        <v>41</v>
      </c>
      <c r="D1206">
        <v>18030</v>
      </c>
      <c r="E1206" s="143">
        <v>85000</v>
      </c>
      <c r="F1206" s="117">
        <v>1403</v>
      </c>
      <c r="G1206" s="321" t="s">
        <v>301</v>
      </c>
      <c r="H1206" s="144">
        <f>bargiri[[#This Row],[میزان بارگیری شده]]*bargiri[[#This Row],[فی]]</f>
        <v>1532550000</v>
      </c>
      <c r="I1206" s="321">
        <f>IF(year=bargiri[[#This Row],[سال]],1,0)</f>
        <v>0</v>
      </c>
    </row>
    <row r="1207" spans="1:9" ht="18.600000000000001" hidden="1" x14ac:dyDescent="0.25">
      <c r="A1207" s="321" t="s">
        <v>436</v>
      </c>
      <c r="B1207" s="321" t="s">
        <v>101</v>
      </c>
      <c r="C1207" s="318" t="s">
        <v>20</v>
      </c>
      <c r="D1207">
        <v>20170</v>
      </c>
      <c r="E1207" s="143">
        <v>68000</v>
      </c>
      <c r="F1207" s="117">
        <v>1403</v>
      </c>
      <c r="G1207" s="321" t="s">
        <v>301</v>
      </c>
      <c r="H1207" s="144">
        <f>bargiri[[#This Row],[میزان بارگیری شده]]*bargiri[[#This Row],[فی]]</f>
        <v>1371560000</v>
      </c>
      <c r="I1207" s="321">
        <f>IF(year=bargiri[[#This Row],[سال]],1,0)</f>
        <v>0</v>
      </c>
    </row>
    <row r="1208" spans="1:9" ht="18.600000000000001" hidden="1" x14ac:dyDescent="0.25">
      <c r="A1208" s="321" t="s">
        <v>436</v>
      </c>
      <c r="B1208" s="321" t="s">
        <v>102</v>
      </c>
      <c r="C1208" s="318" t="s">
        <v>26</v>
      </c>
      <c r="D1208">
        <v>11015</v>
      </c>
      <c r="E1208" s="143">
        <v>70000</v>
      </c>
      <c r="F1208" s="117">
        <v>1403</v>
      </c>
      <c r="G1208" s="321" t="s">
        <v>301</v>
      </c>
      <c r="H1208" s="144">
        <f>bargiri[[#This Row],[میزان بارگیری شده]]*bargiri[[#This Row],[فی]]</f>
        <v>771050000</v>
      </c>
      <c r="I1208" s="321">
        <f>IF(year=bargiri[[#This Row],[سال]],1,0)</f>
        <v>0</v>
      </c>
    </row>
    <row r="1209" spans="1:9" ht="18.600000000000001" hidden="1" x14ac:dyDescent="0.25">
      <c r="A1209" s="321" t="s">
        <v>436</v>
      </c>
      <c r="B1209" s="321" t="s">
        <v>108</v>
      </c>
      <c r="C1209" s="318" t="s">
        <v>53</v>
      </c>
      <c r="D1209">
        <v>19870</v>
      </c>
      <c r="E1209" s="143">
        <v>70000</v>
      </c>
      <c r="F1209" s="117">
        <v>1403</v>
      </c>
      <c r="G1209" s="321" t="s">
        <v>301</v>
      </c>
      <c r="H1209" s="144">
        <f>bargiri[[#This Row],[میزان بارگیری شده]]*bargiri[[#This Row],[فی]]</f>
        <v>1390900000</v>
      </c>
      <c r="I1209" s="321">
        <f>IF(year=bargiri[[#This Row],[سال]],1,0)</f>
        <v>0</v>
      </c>
    </row>
    <row r="1210" spans="1:9" ht="18.600000000000001" hidden="1" x14ac:dyDescent="0.25">
      <c r="A1210" s="321" t="s">
        <v>436</v>
      </c>
      <c r="B1210" s="321" t="s">
        <v>117</v>
      </c>
      <c r="C1210" s="318" t="s">
        <v>82</v>
      </c>
      <c r="D1210">
        <v>20110</v>
      </c>
      <c r="E1210" s="143">
        <v>70000</v>
      </c>
      <c r="F1210" s="117">
        <v>1403</v>
      </c>
      <c r="G1210" s="321" t="s">
        <v>301</v>
      </c>
      <c r="H1210" s="144">
        <f>bargiri[[#This Row],[میزان بارگیری شده]]*bargiri[[#This Row],[فی]]</f>
        <v>1407700000</v>
      </c>
      <c r="I1210" s="321">
        <f>IF(year=bargiri[[#This Row],[سال]],1,0)</f>
        <v>0</v>
      </c>
    </row>
    <row r="1211" spans="1:9" ht="18.600000000000001" hidden="1" x14ac:dyDescent="0.25">
      <c r="A1211" s="321" t="s">
        <v>225</v>
      </c>
      <c r="B1211" s="321" t="s">
        <v>104</v>
      </c>
      <c r="C1211" s="318" t="s">
        <v>41</v>
      </c>
      <c r="D1211">
        <v>18040</v>
      </c>
      <c r="E1211" s="143">
        <v>85000</v>
      </c>
      <c r="F1211" s="117">
        <v>1403</v>
      </c>
      <c r="G1211" s="321" t="s">
        <v>301</v>
      </c>
      <c r="H1211" s="144">
        <f>bargiri[[#This Row],[میزان بارگیری شده]]*bargiri[[#This Row],[فی]]</f>
        <v>1533400000</v>
      </c>
      <c r="I1211" s="321">
        <f>IF(year=bargiri[[#This Row],[سال]],1,0)</f>
        <v>0</v>
      </c>
    </row>
    <row r="1212" spans="1:9" ht="18.600000000000001" hidden="1" x14ac:dyDescent="0.25">
      <c r="A1212" s="321" t="s">
        <v>225</v>
      </c>
      <c r="B1212" s="321" t="s">
        <v>107</v>
      </c>
      <c r="C1212" s="318" t="s">
        <v>50</v>
      </c>
      <c r="D1212">
        <v>19060</v>
      </c>
      <c r="E1212" s="143">
        <v>70000</v>
      </c>
      <c r="F1212" s="117">
        <v>1403</v>
      </c>
      <c r="G1212" s="321" t="s">
        <v>301</v>
      </c>
      <c r="H1212" s="144">
        <f>bargiri[[#This Row],[میزان بارگیری شده]]*bargiri[[#This Row],[فی]]</f>
        <v>1334200000</v>
      </c>
      <c r="I1212" s="321">
        <f>IF(year=bargiri[[#This Row],[سال]],1,0)</f>
        <v>0</v>
      </c>
    </row>
    <row r="1213" spans="1:9" ht="18.600000000000001" hidden="1" x14ac:dyDescent="0.25">
      <c r="A1213" s="321" t="s">
        <v>225</v>
      </c>
      <c r="B1213" s="321" t="s">
        <v>116</v>
      </c>
      <c r="C1213" s="318" t="s">
        <v>77</v>
      </c>
      <c r="D1213">
        <v>20135</v>
      </c>
      <c r="E1213" s="143">
        <v>68500</v>
      </c>
      <c r="F1213" s="117">
        <v>1403</v>
      </c>
      <c r="G1213" s="321" t="s">
        <v>301</v>
      </c>
      <c r="H1213" s="144">
        <f>bargiri[[#This Row],[میزان بارگیری شده]]*bargiri[[#This Row],[فی]]</f>
        <v>1379247500</v>
      </c>
      <c r="I1213" s="321">
        <f>IF(year=bargiri[[#This Row],[سال]],1,0)</f>
        <v>0</v>
      </c>
    </row>
    <row r="1214" spans="1:9" ht="18.600000000000001" hidden="1" x14ac:dyDescent="0.25">
      <c r="A1214" s="321" t="s">
        <v>430</v>
      </c>
      <c r="B1214" s="321" t="s">
        <v>98</v>
      </c>
      <c r="C1214" s="318" t="s">
        <v>11</v>
      </c>
      <c r="D1214">
        <v>22285</v>
      </c>
      <c r="E1214" s="143">
        <v>77000</v>
      </c>
      <c r="F1214" s="117">
        <v>1403</v>
      </c>
      <c r="G1214" s="321" t="s">
        <v>301</v>
      </c>
      <c r="H1214" s="144">
        <f>bargiri[[#This Row],[میزان بارگیری شده]]*bargiri[[#This Row],[فی]]</f>
        <v>1715945000</v>
      </c>
      <c r="I1214" s="321">
        <f>IF(year=bargiri[[#This Row],[سال]],1,0)</f>
        <v>0</v>
      </c>
    </row>
    <row r="1215" spans="1:9" ht="18.600000000000001" hidden="1" x14ac:dyDescent="0.25">
      <c r="A1215" s="321" t="s">
        <v>430</v>
      </c>
      <c r="B1215" s="321" t="s">
        <v>116</v>
      </c>
      <c r="C1215" s="318" t="s">
        <v>77</v>
      </c>
      <c r="D1215">
        <v>19935</v>
      </c>
      <c r="E1215" s="143">
        <v>68500</v>
      </c>
      <c r="F1215" s="117">
        <v>1403</v>
      </c>
      <c r="G1215" s="321" t="s">
        <v>301</v>
      </c>
      <c r="H1215" s="144">
        <f>bargiri[[#This Row],[میزان بارگیری شده]]*bargiri[[#This Row],[فی]]</f>
        <v>1365547500</v>
      </c>
      <c r="I1215" s="321">
        <f>IF(year=bargiri[[#This Row],[سال]],1,0)</f>
        <v>0</v>
      </c>
    </row>
    <row r="1216" spans="1:9" ht="18.600000000000001" hidden="1" x14ac:dyDescent="0.25">
      <c r="A1216" s="321" t="s">
        <v>430</v>
      </c>
      <c r="B1216" s="321" t="s">
        <v>99</v>
      </c>
      <c r="C1216" s="318" t="s">
        <v>13</v>
      </c>
      <c r="D1216">
        <v>18905</v>
      </c>
      <c r="E1216" s="143">
        <v>65000</v>
      </c>
      <c r="F1216" s="117">
        <v>1403</v>
      </c>
      <c r="G1216" s="321" t="s">
        <v>301</v>
      </c>
      <c r="H1216" s="144">
        <f>bargiri[[#This Row],[میزان بارگیری شده]]*bargiri[[#This Row],[فی]]</f>
        <v>1228825000</v>
      </c>
      <c r="I1216" s="321">
        <f>IF(year=bargiri[[#This Row],[سال]],1,0)</f>
        <v>0</v>
      </c>
    </row>
    <row r="1217" spans="1:9" ht="18.600000000000001" hidden="1" x14ac:dyDescent="0.25">
      <c r="A1217" s="321" t="s">
        <v>430</v>
      </c>
      <c r="B1217" s="321" t="s">
        <v>107</v>
      </c>
      <c r="C1217" s="318" t="s">
        <v>50</v>
      </c>
      <c r="D1217">
        <v>18885</v>
      </c>
      <c r="E1217" s="143">
        <v>70000</v>
      </c>
      <c r="F1217" s="117">
        <v>1403</v>
      </c>
      <c r="G1217" s="321" t="s">
        <v>301</v>
      </c>
      <c r="H1217" s="144">
        <f>bargiri[[#This Row],[میزان بارگیری شده]]*bargiri[[#This Row],[فی]]</f>
        <v>1321950000</v>
      </c>
      <c r="I1217" s="321">
        <f>IF(year=bargiri[[#This Row],[سال]],1,0)</f>
        <v>0</v>
      </c>
    </row>
    <row r="1218" spans="1:9" ht="18.600000000000001" x14ac:dyDescent="0.25">
      <c r="A1218" s="321" t="s">
        <v>430</v>
      </c>
      <c r="B1218" s="321" t="s">
        <v>118</v>
      </c>
      <c r="C1218" s="318" t="s">
        <v>85</v>
      </c>
      <c r="D1218">
        <v>21100</v>
      </c>
      <c r="E1218" s="143">
        <v>56881</v>
      </c>
      <c r="F1218" s="117">
        <v>1403</v>
      </c>
      <c r="G1218" s="321" t="s">
        <v>301</v>
      </c>
      <c r="H1218" s="144">
        <f>bargiri[[#This Row],[میزان بارگیری شده]]*bargiri[[#This Row],[فی]]</f>
        <v>1200189100</v>
      </c>
      <c r="I1218" s="321">
        <f>IF(year=bargiri[[#This Row],[سال]],1,0)</f>
        <v>0</v>
      </c>
    </row>
    <row r="1219" spans="1:9" ht="18.600000000000001" x14ac:dyDescent="0.25">
      <c r="A1219" s="321" t="s">
        <v>430</v>
      </c>
      <c r="B1219" s="321" t="s">
        <v>118</v>
      </c>
      <c r="C1219" s="318" t="s">
        <v>85</v>
      </c>
      <c r="D1219">
        <v>21030</v>
      </c>
      <c r="E1219" s="143">
        <v>56881</v>
      </c>
      <c r="F1219" s="117">
        <v>1403</v>
      </c>
      <c r="G1219" s="321" t="s">
        <v>301</v>
      </c>
      <c r="H1219" s="144">
        <f>bargiri[[#This Row],[میزان بارگیری شده]]*bargiri[[#This Row],[فی]]</f>
        <v>1196207430</v>
      </c>
      <c r="I1219" s="321">
        <f>IF(year=bargiri[[#This Row],[سال]],1,0)</f>
        <v>0</v>
      </c>
    </row>
    <row r="1220" spans="1:9" ht="18.600000000000001" x14ac:dyDescent="0.25">
      <c r="A1220" s="321" t="s">
        <v>430</v>
      </c>
      <c r="B1220" s="321" t="s">
        <v>118</v>
      </c>
      <c r="C1220" s="318" t="s">
        <v>85</v>
      </c>
      <c r="D1220">
        <v>20535</v>
      </c>
      <c r="E1220" s="143">
        <v>56881</v>
      </c>
      <c r="F1220" s="117">
        <v>1403</v>
      </c>
      <c r="G1220" s="321" t="s">
        <v>301</v>
      </c>
      <c r="H1220" s="144">
        <f>bargiri[[#This Row],[میزان بارگیری شده]]*bargiri[[#This Row],[فی]]</f>
        <v>1168051335</v>
      </c>
      <c r="I1220" s="321">
        <f>IF(year=bargiri[[#This Row],[سال]],1,0)</f>
        <v>0</v>
      </c>
    </row>
    <row r="1221" spans="1:9" ht="18.600000000000001" hidden="1" x14ac:dyDescent="0.25">
      <c r="A1221" s="321" t="s">
        <v>431</v>
      </c>
      <c r="B1221" s="321" t="s">
        <v>99</v>
      </c>
      <c r="C1221" s="318" t="s">
        <v>13</v>
      </c>
      <c r="D1221">
        <v>19020</v>
      </c>
      <c r="E1221" s="143">
        <v>65000</v>
      </c>
      <c r="F1221" s="117">
        <v>1403</v>
      </c>
      <c r="G1221" s="321" t="s">
        <v>301</v>
      </c>
      <c r="H1221" s="144">
        <f>bargiri[[#This Row],[میزان بارگیری شده]]*bargiri[[#This Row],[فی]]</f>
        <v>1236300000</v>
      </c>
      <c r="I1221" s="321">
        <f>IF(year=bargiri[[#This Row],[سال]],1,0)</f>
        <v>0</v>
      </c>
    </row>
    <row r="1222" spans="1:9" ht="18.600000000000001" hidden="1" x14ac:dyDescent="0.25">
      <c r="A1222" s="321" t="s">
        <v>431</v>
      </c>
      <c r="B1222" s="321" t="s">
        <v>116</v>
      </c>
      <c r="C1222" s="318" t="s">
        <v>77</v>
      </c>
      <c r="D1222">
        <v>19765</v>
      </c>
      <c r="E1222" s="143">
        <v>68500</v>
      </c>
      <c r="F1222" s="117">
        <v>1403</v>
      </c>
      <c r="G1222" s="321" t="s">
        <v>301</v>
      </c>
      <c r="H1222" s="144">
        <f>bargiri[[#This Row],[میزان بارگیری شده]]*bargiri[[#This Row],[فی]]</f>
        <v>1353902500</v>
      </c>
      <c r="I1222" s="321">
        <f>IF(year=bargiri[[#This Row],[سال]],1,0)</f>
        <v>0</v>
      </c>
    </row>
    <row r="1223" spans="1:9" ht="18.600000000000001" hidden="1" x14ac:dyDescent="0.25">
      <c r="A1223" s="321" t="s">
        <v>431</v>
      </c>
      <c r="B1223" s="321" t="s">
        <v>102</v>
      </c>
      <c r="C1223" s="318" t="s">
        <v>26</v>
      </c>
      <c r="D1223">
        <v>10115</v>
      </c>
      <c r="E1223" s="143">
        <v>70000</v>
      </c>
      <c r="F1223" s="117">
        <v>1403</v>
      </c>
      <c r="G1223" s="321" t="s">
        <v>301</v>
      </c>
      <c r="H1223" s="144">
        <f>bargiri[[#This Row],[میزان بارگیری شده]]*bargiri[[#This Row],[فی]]</f>
        <v>708050000</v>
      </c>
      <c r="I1223" s="321">
        <f>IF(year=bargiri[[#This Row],[سال]],1,0)</f>
        <v>0</v>
      </c>
    </row>
    <row r="1224" spans="1:9" ht="18.600000000000001" hidden="1" x14ac:dyDescent="0.25">
      <c r="A1224" s="321" t="s">
        <v>431</v>
      </c>
      <c r="B1224" s="321" t="s">
        <v>107</v>
      </c>
      <c r="C1224" s="318" t="s">
        <v>50</v>
      </c>
      <c r="D1224">
        <v>20085</v>
      </c>
      <c r="E1224" s="143">
        <v>70000</v>
      </c>
      <c r="F1224" s="117">
        <v>1403</v>
      </c>
      <c r="G1224" s="321" t="s">
        <v>301</v>
      </c>
      <c r="H1224" s="144">
        <f>bargiri[[#This Row],[میزان بارگیری شده]]*bargiri[[#This Row],[فی]]</f>
        <v>1405950000</v>
      </c>
      <c r="I1224" s="321">
        <f>IF(year=bargiri[[#This Row],[سال]],1,0)</f>
        <v>0</v>
      </c>
    </row>
    <row r="1225" spans="1:9" ht="18.600000000000001" hidden="1" x14ac:dyDescent="0.25">
      <c r="A1225" s="321" t="s">
        <v>437</v>
      </c>
      <c r="B1225" s="321" t="s">
        <v>107</v>
      </c>
      <c r="C1225" s="318" t="s">
        <v>50</v>
      </c>
      <c r="D1225">
        <v>19995</v>
      </c>
      <c r="E1225" s="143">
        <v>70000</v>
      </c>
      <c r="F1225" s="117">
        <v>1403</v>
      </c>
      <c r="G1225" s="321" t="s">
        <v>301</v>
      </c>
      <c r="H1225" s="144">
        <f>bargiri[[#This Row],[میزان بارگیری شده]]*bargiri[[#This Row],[فی]]</f>
        <v>1399650000</v>
      </c>
      <c r="I1225" s="321">
        <f>IF(year=bargiri[[#This Row],[سال]],1,0)</f>
        <v>0</v>
      </c>
    </row>
    <row r="1226" spans="1:9" ht="18.600000000000001" hidden="1" x14ac:dyDescent="0.25">
      <c r="A1226" s="321" t="s">
        <v>438</v>
      </c>
      <c r="B1226" s="321" t="s">
        <v>107</v>
      </c>
      <c r="C1226" s="318" t="s">
        <v>50</v>
      </c>
      <c r="D1226">
        <v>20240</v>
      </c>
      <c r="E1226" s="143">
        <v>70000</v>
      </c>
      <c r="F1226" s="117">
        <v>1403</v>
      </c>
      <c r="G1226" s="321" t="s">
        <v>301</v>
      </c>
      <c r="H1226" s="144">
        <f>bargiri[[#This Row],[میزان بارگیری شده]]*bargiri[[#This Row],[فی]]</f>
        <v>1416800000</v>
      </c>
      <c r="I1226" s="321">
        <f>IF(year=bargiri[[#This Row],[سال]],1,0)</f>
        <v>0</v>
      </c>
    </row>
    <row r="1227" spans="1:9" ht="18.600000000000001" hidden="1" x14ac:dyDescent="0.25">
      <c r="A1227" s="321" t="s">
        <v>439</v>
      </c>
      <c r="B1227" s="321" t="s">
        <v>107</v>
      </c>
      <c r="C1227" s="318" t="s">
        <v>50</v>
      </c>
      <c r="D1227">
        <v>19890</v>
      </c>
      <c r="E1227" s="143">
        <v>70000</v>
      </c>
      <c r="F1227" s="117">
        <v>1403</v>
      </c>
      <c r="G1227" s="321" t="s">
        <v>301</v>
      </c>
      <c r="H1227" s="144">
        <f>bargiri[[#This Row],[میزان بارگیری شده]]*bargiri[[#This Row],[فی]]</f>
        <v>1392300000</v>
      </c>
      <c r="I1227" s="321">
        <f>IF(year=bargiri[[#This Row],[سال]],1,0)</f>
        <v>0</v>
      </c>
    </row>
    <row r="1228" spans="1:9" ht="18.600000000000001" hidden="1" x14ac:dyDescent="0.25">
      <c r="A1228" s="321" t="s">
        <v>440</v>
      </c>
      <c r="B1228" s="321" t="s">
        <v>107</v>
      </c>
      <c r="C1228" s="318" t="s">
        <v>50</v>
      </c>
      <c r="D1228">
        <v>19870</v>
      </c>
      <c r="E1228" s="143">
        <v>70000</v>
      </c>
      <c r="F1228" s="117">
        <v>1403</v>
      </c>
      <c r="G1228" s="321" t="s">
        <v>301</v>
      </c>
      <c r="H1228" s="144">
        <f>bargiri[[#This Row],[میزان بارگیری شده]]*bargiri[[#This Row],[فی]]</f>
        <v>1390900000</v>
      </c>
      <c r="I1228" s="321">
        <f>IF(year=bargiri[[#This Row],[سال]],1,0)</f>
        <v>0</v>
      </c>
    </row>
    <row r="1229" spans="1:9" ht="18.600000000000001" hidden="1" x14ac:dyDescent="0.25">
      <c r="A1229" s="321" t="s">
        <v>441</v>
      </c>
      <c r="B1229" s="321" t="s">
        <v>107</v>
      </c>
      <c r="C1229" s="318" t="s">
        <v>50</v>
      </c>
      <c r="D1229">
        <v>21815</v>
      </c>
      <c r="E1229" s="143">
        <v>70000</v>
      </c>
      <c r="F1229" s="117">
        <v>1403</v>
      </c>
      <c r="G1229" s="321" t="s">
        <v>302</v>
      </c>
      <c r="H1229" s="144">
        <f>bargiri[[#This Row],[میزان بارگیری شده]]*bargiri[[#This Row],[فی]]</f>
        <v>1527050000</v>
      </c>
      <c r="I1229" s="321">
        <f>IF(year=bargiri[[#This Row],[سال]],1,0)</f>
        <v>0</v>
      </c>
    </row>
    <row r="1230" spans="1:9" ht="18.600000000000001" hidden="1" x14ac:dyDescent="0.25">
      <c r="A1230" s="321" t="s">
        <v>442</v>
      </c>
      <c r="B1230" s="321" t="s">
        <v>107</v>
      </c>
      <c r="C1230" s="318" t="s">
        <v>50</v>
      </c>
      <c r="D1230">
        <v>21725</v>
      </c>
      <c r="E1230" s="143">
        <v>70000</v>
      </c>
      <c r="F1230" s="117">
        <v>1403</v>
      </c>
      <c r="G1230" s="321" t="s">
        <v>302</v>
      </c>
      <c r="H1230" s="144">
        <f>bargiri[[#This Row],[میزان بارگیری شده]]*bargiri[[#This Row],[فی]]</f>
        <v>1520750000</v>
      </c>
      <c r="I1230" s="321">
        <f>IF(year=bargiri[[#This Row],[سال]],1,0)</f>
        <v>0</v>
      </c>
    </row>
    <row r="1231" spans="1:9" ht="18.600000000000001" hidden="1" x14ac:dyDescent="0.25">
      <c r="A1231" s="321" t="s">
        <v>205</v>
      </c>
      <c r="B1231" s="321" t="s">
        <v>107</v>
      </c>
      <c r="C1231" s="318" t="s">
        <v>50</v>
      </c>
      <c r="D1231">
        <v>21015</v>
      </c>
      <c r="E1231" s="143">
        <v>70000</v>
      </c>
      <c r="F1231" s="117">
        <v>1403</v>
      </c>
      <c r="G1231" s="321" t="s">
        <v>302</v>
      </c>
      <c r="H1231" s="144">
        <f>bargiri[[#This Row],[میزان بارگیری شده]]*bargiri[[#This Row],[فی]]</f>
        <v>1471050000</v>
      </c>
      <c r="I1231" s="321">
        <f>IF(year=bargiri[[#This Row],[سال]],1,0)</f>
        <v>0</v>
      </c>
    </row>
    <row r="1232" spans="1:9" ht="18.600000000000001" hidden="1" x14ac:dyDescent="0.25">
      <c r="A1232" s="321" t="s">
        <v>143</v>
      </c>
      <c r="B1232" s="321" t="s">
        <v>115</v>
      </c>
      <c r="C1232" s="318" t="s">
        <v>65</v>
      </c>
      <c r="D1232">
        <v>22005</v>
      </c>
      <c r="E1232" s="143">
        <v>75000</v>
      </c>
      <c r="F1232" s="117">
        <v>1403</v>
      </c>
      <c r="G1232" s="321" t="s">
        <v>301</v>
      </c>
      <c r="H1232" s="144">
        <f>bargiri[[#This Row],[میزان بارگیری شده]]*bargiri[[#This Row],[فی]]</f>
        <v>1650375000</v>
      </c>
      <c r="I1232" s="321">
        <f>IF(year=bargiri[[#This Row],[سال]],1,0)</f>
        <v>0</v>
      </c>
    </row>
    <row r="1233" spans="1:9" ht="18.600000000000001" hidden="1" x14ac:dyDescent="0.25">
      <c r="A1233" s="321" t="s">
        <v>143</v>
      </c>
      <c r="B1233" s="321" t="s">
        <v>101</v>
      </c>
      <c r="C1233" s="318" t="s">
        <v>20</v>
      </c>
      <c r="D1233">
        <v>20130</v>
      </c>
      <c r="E1233" s="143">
        <v>68000</v>
      </c>
      <c r="F1233" s="117">
        <v>1403</v>
      </c>
      <c r="G1233" s="321" t="s">
        <v>301</v>
      </c>
      <c r="H1233" s="144">
        <f>bargiri[[#This Row],[میزان بارگیری شده]]*bargiri[[#This Row],[فی]]</f>
        <v>1368840000</v>
      </c>
      <c r="I1233" s="321">
        <f>IF(year=bargiri[[#This Row],[سال]],1,0)</f>
        <v>0</v>
      </c>
    </row>
    <row r="1234" spans="1:9" ht="18.600000000000001" hidden="1" x14ac:dyDescent="0.25">
      <c r="A1234" s="321" t="s">
        <v>143</v>
      </c>
      <c r="B1234" s="321" t="s">
        <v>116</v>
      </c>
      <c r="C1234" s="318" t="s">
        <v>77</v>
      </c>
      <c r="D1234">
        <v>20095</v>
      </c>
      <c r="E1234" s="143">
        <v>68500</v>
      </c>
      <c r="F1234" s="117">
        <v>1403</v>
      </c>
      <c r="G1234" s="321" t="s">
        <v>301</v>
      </c>
      <c r="H1234" s="144">
        <f>bargiri[[#This Row],[میزان بارگیری شده]]*bargiri[[#This Row],[فی]]</f>
        <v>1376507500</v>
      </c>
      <c r="I1234" s="321">
        <f>IF(year=bargiri[[#This Row],[سال]],1,0)</f>
        <v>0</v>
      </c>
    </row>
    <row r="1235" spans="1:9" ht="18.600000000000001" hidden="1" x14ac:dyDescent="0.25">
      <c r="A1235" s="321" t="s">
        <v>143</v>
      </c>
      <c r="B1235" s="321" t="s">
        <v>102</v>
      </c>
      <c r="C1235" s="318" t="s">
        <v>26</v>
      </c>
      <c r="D1235">
        <v>11070</v>
      </c>
      <c r="E1235" s="143">
        <v>70000</v>
      </c>
      <c r="F1235" s="117">
        <v>1403</v>
      </c>
      <c r="G1235" s="321" t="s">
        <v>301</v>
      </c>
      <c r="H1235" s="144">
        <f>bargiri[[#This Row],[میزان بارگیری شده]]*bargiri[[#This Row],[فی]]</f>
        <v>774900000</v>
      </c>
      <c r="I1235" s="321">
        <f>IF(year=bargiri[[#This Row],[سال]],1,0)</f>
        <v>0</v>
      </c>
    </row>
    <row r="1236" spans="1:9" ht="18.600000000000001" hidden="1" x14ac:dyDescent="0.25">
      <c r="A1236" s="321" t="s">
        <v>143</v>
      </c>
      <c r="B1236" s="321" t="s">
        <v>104</v>
      </c>
      <c r="C1236" s="318" t="s">
        <v>41</v>
      </c>
      <c r="D1236">
        <v>17965</v>
      </c>
      <c r="E1236" s="143">
        <v>85000</v>
      </c>
      <c r="F1236" s="117">
        <v>1403</v>
      </c>
      <c r="G1236" s="321" t="s">
        <v>301</v>
      </c>
      <c r="H1236" s="144">
        <f>bargiri[[#This Row],[میزان بارگیری شده]]*bargiri[[#This Row],[فی]]</f>
        <v>1527025000</v>
      </c>
      <c r="I1236" s="321">
        <f>IF(year=bargiri[[#This Row],[سال]],1,0)</f>
        <v>0</v>
      </c>
    </row>
    <row r="1237" spans="1:9" ht="18.600000000000001" hidden="1" x14ac:dyDescent="0.25">
      <c r="A1237" s="321" t="s">
        <v>143</v>
      </c>
      <c r="B1237" s="321" t="s">
        <v>110</v>
      </c>
      <c r="C1237" s="318" t="s">
        <v>57</v>
      </c>
      <c r="D1237">
        <v>19645</v>
      </c>
      <c r="E1237" s="143">
        <v>78000</v>
      </c>
      <c r="F1237" s="117">
        <v>1403</v>
      </c>
      <c r="G1237" s="321" t="s">
        <v>301</v>
      </c>
      <c r="H1237" s="144">
        <f>bargiri[[#This Row],[میزان بارگیری شده]]*bargiri[[#This Row],[فی]]</f>
        <v>1532310000</v>
      </c>
      <c r="I1237" s="321">
        <f>IF(year=bargiri[[#This Row],[سال]],1,0)</f>
        <v>0</v>
      </c>
    </row>
    <row r="1238" spans="1:9" ht="18.600000000000001" hidden="1" x14ac:dyDescent="0.25">
      <c r="A1238" s="321" t="s">
        <v>143</v>
      </c>
      <c r="B1238" s="321" t="s">
        <v>117</v>
      </c>
      <c r="C1238" s="318" t="s">
        <v>82</v>
      </c>
      <c r="D1238">
        <v>20395</v>
      </c>
      <c r="E1238" s="143">
        <v>70000</v>
      </c>
      <c r="F1238" s="117">
        <v>1403</v>
      </c>
      <c r="G1238" s="321" t="s">
        <v>301</v>
      </c>
      <c r="H1238" s="144">
        <f>bargiri[[#This Row],[میزان بارگیری شده]]*bargiri[[#This Row],[فی]]</f>
        <v>1427650000</v>
      </c>
      <c r="I1238" s="321">
        <f>IF(year=bargiri[[#This Row],[سال]],1,0)</f>
        <v>0</v>
      </c>
    </row>
    <row r="1239" spans="1:9" ht="18.600000000000001" hidden="1" x14ac:dyDescent="0.25">
      <c r="A1239" s="321" t="s">
        <v>437</v>
      </c>
      <c r="B1239" s="321" t="s">
        <v>104</v>
      </c>
      <c r="C1239" s="318" t="s">
        <v>41</v>
      </c>
      <c r="D1239">
        <v>17815</v>
      </c>
      <c r="E1239" s="143">
        <v>85000</v>
      </c>
      <c r="F1239" s="117">
        <v>1403</v>
      </c>
      <c r="G1239" s="321" t="s">
        <v>301</v>
      </c>
      <c r="H1239" s="144">
        <f>bargiri[[#This Row],[میزان بارگیری شده]]*bargiri[[#This Row],[فی]]</f>
        <v>1514275000</v>
      </c>
      <c r="I1239" s="321">
        <f>IF(year=bargiri[[#This Row],[سال]],1,0)</f>
        <v>0</v>
      </c>
    </row>
    <row r="1240" spans="1:9" ht="18.600000000000001" x14ac:dyDescent="0.25">
      <c r="A1240" s="321" t="s">
        <v>437</v>
      </c>
      <c r="B1240" s="321" t="s">
        <v>118</v>
      </c>
      <c r="C1240" s="318" t="s">
        <v>85</v>
      </c>
      <c r="D1240">
        <v>20940</v>
      </c>
      <c r="E1240" s="143">
        <v>56881</v>
      </c>
      <c r="F1240" s="117">
        <v>1403</v>
      </c>
      <c r="G1240" s="321" t="s">
        <v>301</v>
      </c>
      <c r="H1240" s="144">
        <f>bargiri[[#This Row],[میزان بارگیری شده]]*bargiri[[#This Row],[فی]]</f>
        <v>1191088140</v>
      </c>
      <c r="I1240" s="321">
        <f>IF(year=bargiri[[#This Row],[سال]],1,0)</f>
        <v>0</v>
      </c>
    </row>
    <row r="1241" spans="1:9" ht="18.600000000000001" x14ac:dyDescent="0.25">
      <c r="A1241" s="321" t="s">
        <v>437</v>
      </c>
      <c r="B1241" s="321" t="s">
        <v>118</v>
      </c>
      <c r="C1241" s="318" t="s">
        <v>85</v>
      </c>
      <c r="D1241">
        <v>20930</v>
      </c>
      <c r="E1241" s="143">
        <v>56881</v>
      </c>
      <c r="F1241" s="117">
        <v>1403</v>
      </c>
      <c r="G1241" s="321" t="s">
        <v>301</v>
      </c>
      <c r="H1241" s="144">
        <f>bargiri[[#This Row],[میزان بارگیری شده]]*bargiri[[#This Row],[فی]]</f>
        <v>1190519330</v>
      </c>
      <c r="I1241" s="321">
        <f>IF(year=bargiri[[#This Row],[سال]],1,0)</f>
        <v>0</v>
      </c>
    </row>
    <row r="1242" spans="1:9" ht="18.600000000000001" x14ac:dyDescent="0.25">
      <c r="A1242" s="321" t="s">
        <v>437</v>
      </c>
      <c r="B1242" s="321" t="s">
        <v>118</v>
      </c>
      <c r="C1242" s="318" t="s">
        <v>85</v>
      </c>
      <c r="D1242">
        <v>20860</v>
      </c>
      <c r="E1242" s="143">
        <v>56881</v>
      </c>
      <c r="F1242" s="117">
        <v>1403</v>
      </c>
      <c r="G1242" s="321" t="s">
        <v>301</v>
      </c>
      <c r="H1242" s="144">
        <f>bargiri[[#This Row],[میزان بارگیری شده]]*bargiri[[#This Row],[فی]]</f>
        <v>1186537660</v>
      </c>
      <c r="I1242" s="321">
        <f>IF(year=bargiri[[#This Row],[سال]],1,0)</f>
        <v>0</v>
      </c>
    </row>
    <row r="1243" spans="1:9" ht="18.600000000000001" x14ac:dyDescent="0.25">
      <c r="A1243" s="321" t="s">
        <v>437</v>
      </c>
      <c r="B1243" s="321" t="s">
        <v>118</v>
      </c>
      <c r="C1243" s="318" t="s">
        <v>85</v>
      </c>
      <c r="D1243">
        <v>20920</v>
      </c>
      <c r="E1243" s="143">
        <v>56881</v>
      </c>
      <c r="F1243" s="117">
        <v>1403</v>
      </c>
      <c r="G1243" s="321" t="s">
        <v>301</v>
      </c>
      <c r="H1243" s="144">
        <f>bargiri[[#This Row],[میزان بارگیری شده]]*bargiri[[#This Row],[فی]]</f>
        <v>1189950520</v>
      </c>
      <c r="I1243" s="321">
        <f>IF(year=bargiri[[#This Row],[سال]],1,0)</f>
        <v>0</v>
      </c>
    </row>
    <row r="1244" spans="1:9" ht="18.600000000000001" hidden="1" x14ac:dyDescent="0.25">
      <c r="A1244" s="321" t="s">
        <v>437</v>
      </c>
      <c r="B1244" s="321" t="s">
        <v>116</v>
      </c>
      <c r="C1244" s="318" t="s">
        <v>77</v>
      </c>
      <c r="D1244">
        <v>20135</v>
      </c>
      <c r="E1244" s="143">
        <v>68500</v>
      </c>
      <c r="F1244" s="117">
        <v>1403</v>
      </c>
      <c r="G1244" s="321" t="s">
        <v>301</v>
      </c>
      <c r="H1244" s="144">
        <f>bargiri[[#This Row],[میزان بارگیری شده]]*bargiri[[#This Row],[فی]]</f>
        <v>1379247500</v>
      </c>
      <c r="I1244" s="321">
        <f>IF(year=bargiri[[#This Row],[سال]],1,0)</f>
        <v>0</v>
      </c>
    </row>
    <row r="1245" spans="1:9" ht="18.600000000000001" x14ac:dyDescent="0.25">
      <c r="A1245" s="321" t="s">
        <v>443</v>
      </c>
      <c r="B1245" s="321" t="s">
        <v>118</v>
      </c>
      <c r="C1245" s="318" t="s">
        <v>85</v>
      </c>
      <c r="D1245">
        <v>20085</v>
      </c>
      <c r="E1245" s="143">
        <v>56881</v>
      </c>
      <c r="F1245" s="117">
        <v>1403</v>
      </c>
      <c r="G1245" s="321" t="s">
        <v>301</v>
      </c>
      <c r="H1245" s="144">
        <f>bargiri[[#This Row],[میزان بارگیری شده]]*bargiri[[#This Row],[فی]]</f>
        <v>1142454885</v>
      </c>
      <c r="I1245" s="321">
        <f>IF(year=bargiri[[#This Row],[سال]],1,0)</f>
        <v>0</v>
      </c>
    </row>
    <row r="1246" spans="1:9" ht="18.600000000000001" x14ac:dyDescent="0.25">
      <c r="A1246" s="321" t="s">
        <v>443</v>
      </c>
      <c r="B1246" s="321" t="s">
        <v>118</v>
      </c>
      <c r="C1246" s="318" t="s">
        <v>85</v>
      </c>
      <c r="D1246">
        <v>20905</v>
      </c>
      <c r="E1246" s="143">
        <v>56881</v>
      </c>
      <c r="F1246" s="117">
        <v>1403</v>
      </c>
      <c r="G1246" s="321" t="s">
        <v>301</v>
      </c>
      <c r="H1246" s="144">
        <f>bargiri[[#This Row],[میزان بارگیری شده]]*bargiri[[#This Row],[فی]]</f>
        <v>1189097305</v>
      </c>
      <c r="I1246" s="321">
        <f>IF(year=bargiri[[#This Row],[سال]],1,0)</f>
        <v>0</v>
      </c>
    </row>
    <row r="1247" spans="1:9" ht="18.600000000000001" x14ac:dyDescent="0.25">
      <c r="A1247" s="321" t="s">
        <v>443</v>
      </c>
      <c r="B1247" s="321" t="s">
        <v>118</v>
      </c>
      <c r="C1247" s="318" t="s">
        <v>85</v>
      </c>
      <c r="D1247">
        <v>21160</v>
      </c>
      <c r="E1247" s="143">
        <v>56881</v>
      </c>
      <c r="F1247" s="117">
        <v>1403</v>
      </c>
      <c r="G1247" s="321" t="s">
        <v>301</v>
      </c>
      <c r="H1247" s="144">
        <f>bargiri[[#This Row],[میزان بارگیری شده]]*bargiri[[#This Row],[فی]]</f>
        <v>1203601960</v>
      </c>
      <c r="I1247" s="321">
        <f>IF(year=bargiri[[#This Row],[سال]],1,0)</f>
        <v>0</v>
      </c>
    </row>
    <row r="1248" spans="1:9" ht="18.600000000000001" hidden="1" x14ac:dyDescent="0.25">
      <c r="A1248" s="321" t="s">
        <v>443</v>
      </c>
      <c r="B1248" s="321" t="s">
        <v>116</v>
      </c>
      <c r="C1248" s="318" t="s">
        <v>77</v>
      </c>
      <c r="D1248">
        <v>20080</v>
      </c>
      <c r="E1248" s="143">
        <v>68500</v>
      </c>
      <c r="F1248" s="117">
        <v>1403</v>
      </c>
      <c r="G1248" s="321" t="s">
        <v>301</v>
      </c>
      <c r="H1248" s="144">
        <f>bargiri[[#This Row],[میزان بارگیری شده]]*bargiri[[#This Row],[فی]]</f>
        <v>1375480000</v>
      </c>
      <c r="I1248" s="321">
        <f>IF(year=bargiri[[#This Row],[سال]],1,0)</f>
        <v>0</v>
      </c>
    </row>
    <row r="1249" spans="1:9" ht="18.600000000000001" hidden="1" x14ac:dyDescent="0.25">
      <c r="A1249" s="321" t="s">
        <v>443</v>
      </c>
      <c r="B1249" s="321" t="s">
        <v>99</v>
      </c>
      <c r="C1249" s="318" t="s">
        <v>13</v>
      </c>
      <c r="D1249">
        <v>18995</v>
      </c>
      <c r="E1249" s="143">
        <v>65000</v>
      </c>
      <c r="F1249" s="117">
        <v>1403</v>
      </c>
      <c r="G1249" s="321" t="s">
        <v>301</v>
      </c>
      <c r="H1249" s="144">
        <f>bargiri[[#This Row],[میزان بارگیری شده]]*bargiri[[#This Row],[فی]]</f>
        <v>1234675000</v>
      </c>
      <c r="I1249" s="321">
        <f>IF(year=bargiri[[#This Row],[سال]],1,0)</f>
        <v>0</v>
      </c>
    </row>
    <row r="1250" spans="1:9" ht="18.600000000000001" hidden="1" x14ac:dyDescent="0.25">
      <c r="A1250" s="321" t="s">
        <v>443</v>
      </c>
      <c r="B1250" s="321" t="s">
        <v>102</v>
      </c>
      <c r="C1250" s="318" t="s">
        <v>26</v>
      </c>
      <c r="D1250">
        <v>11185</v>
      </c>
      <c r="E1250" s="143">
        <v>70000</v>
      </c>
      <c r="F1250" s="117">
        <v>1403</v>
      </c>
      <c r="G1250" s="321" t="s">
        <v>301</v>
      </c>
      <c r="H1250" s="144">
        <f>bargiri[[#This Row],[میزان بارگیری شده]]*bargiri[[#This Row],[فی]]</f>
        <v>782950000</v>
      </c>
      <c r="I1250" s="321">
        <f>IF(year=bargiri[[#This Row],[سال]],1,0)</f>
        <v>0</v>
      </c>
    </row>
    <row r="1251" spans="1:9" ht="18.600000000000001" hidden="1" x14ac:dyDescent="0.25">
      <c r="A1251" s="321" t="s">
        <v>443</v>
      </c>
      <c r="B1251" s="321" t="s">
        <v>116</v>
      </c>
      <c r="C1251" s="318" t="s">
        <v>77</v>
      </c>
      <c r="D1251">
        <v>8060</v>
      </c>
      <c r="E1251" s="143">
        <v>68500</v>
      </c>
      <c r="F1251" s="117">
        <v>1403</v>
      </c>
      <c r="G1251" s="321" t="s">
        <v>301</v>
      </c>
      <c r="H1251" s="144">
        <f>bargiri[[#This Row],[میزان بارگیری شده]]*bargiri[[#This Row],[فی]]</f>
        <v>552110000</v>
      </c>
      <c r="I1251" s="321">
        <f>IF(year=bargiri[[#This Row],[سال]],1,0)</f>
        <v>0</v>
      </c>
    </row>
    <row r="1252" spans="1:9" ht="18.600000000000001" hidden="1" x14ac:dyDescent="0.25">
      <c r="A1252" s="321" t="s">
        <v>443</v>
      </c>
      <c r="B1252" s="321" t="s">
        <v>106</v>
      </c>
      <c r="C1252" s="318" t="s">
        <v>48</v>
      </c>
      <c r="D1252">
        <v>20310</v>
      </c>
      <c r="E1252" s="143">
        <v>65000</v>
      </c>
      <c r="F1252" s="117">
        <v>1403</v>
      </c>
      <c r="G1252" s="321" t="s">
        <v>301</v>
      </c>
      <c r="H1252" s="144">
        <f>bargiri[[#This Row],[میزان بارگیری شده]]*bargiri[[#This Row],[فی]]</f>
        <v>1320150000</v>
      </c>
      <c r="I1252" s="321">
        <f>IF(year=bargiri[[#This Row],[سال]],1,0)</f>
        <v>0</v>
      </c>
    </row>
    <row r="1253" spans="1:9" ht="18.600000000000001" hidden="1" x14ac:dyDescent="0.25">
      <c r="A1253" s="321" t="s">
        <v>443</v>
      </c>
      <c r="B1253" s="321" t="s">
        <v>99</v>
      </c>
      <c r="C1253" s="318" t="s">
        <v>13</v>
      </c>
      <c r="D1253">
        <v>19095</v>
      </c>
      <c r="E1253" s="143">
        <v>65000</v>
      </c>
      <c r="F1253" s="117">
        <v>1403</v>
      </c>
      <c r="G1253" s="321" t="s">
        <v>301</v>
      </c>
      <c r="H1253" s="144">
        <f>bargiri[[#This Row],[میزان بارگیری شده]]*bargiri[[#This Row],[فی]]</f>
        <v>1241175000</v>
      </c>
      <c r="I1253" s="321">
        <f>IF(year=bargiri[[#This Row],[سال]],1,0)</f>
        <v>0</v>
      </c>
    </row>
    <row r="1254" spans="1:9" ht="18.600000000000001" hidden="1" x14ac:dyDescent="0.25">
      <c r="A1254" s="321" t="s">
        <v>444</v>
      </c>
      <c r="B1254" s="321" t="s">
        <v>106</v>
      </c>
      <c r="C1254" s="318" t="s">
        <v>48</v>
      </c>
      <c r="D1254">
        <v>20120</v>
      </c>
      <c r="E1254" s="143">
        <v>65000</v>
      </c>
      <c r="F1254" s="117">
        <v>1403</v>
      </c>
      <c r="G1254" s="321" t="s">
        <v>301</v>
      </c>
      <c r="H1254" s="144">
        <f>bargiri[[#This Row],[میزان بارگیری شده]]*bargiri[[#This Row],[فی]]</f>
        <v>1307800000</v>
      </c>
      <c r="I1254" s="321">
        <f>IF(year=bargiri[[#This Row],[سال]],1,0)</f>
        <v>0</v>
      </c>
    </row>
    <row r="1255" spans="1:9" ht="18.600000000000001" hidden="1" x14ac:dyDescent="0.25">
      <c r="A1255" s="321" t="s">
        <v>444</v>
      </c>
      <c r="B1255" s="321" t="s">
        <v>98</v>
      </c>
      <c r="C1255" s="318" t="s">
        <v>11</v>
      </c>
      <c r="D1255">
        <v>20205</v>
      </c>
      <c r="E1255" s="143">
        <v>77000</v>
      </c>
      <c r="F1255" s="117">
        <v>1403</v>
      </c>
      <c r="G1255" s="321" t="s">
        <v>301</v>
      </c>
      <c r="H1255" s="144">
        <f>bargiri[[#This Row],[میزان بارگیری شده]]*bargiri[[#This Row],[فی]]</f>
        <v>1555785000</v>
      </c>
      <c r="I1255" s="321">
        <f>IF(year=bargiri[[#This Row],[سال]],1,0)</f>
        <v>0</v>
      </c>
    </row>
    <row r="1256" spans="1:9" ht="18.600000000000001" hidden="1" x14ac:dyDescent="0.25">
      <c r="A1256" s="321" t="s">
        <v>444</v>
      </c>
      <c r="B1256" s="321" t="s">
        <v>101</v>
      </c>
      <c r="C1256" s="318" t="s">
        <v>20</v>
      </c>
      <c r="D1256">
        <v>20300</v>
      </c>
      <c r="E1256" s="143">
        <v>68000</v>
      </c>
      <c r="F1256" s="117">
        <v>1403</v>
      </c>
      <c r="G1256" s="321" t="s">
        <v>301</v>
      </c>
      <c r="H1256" s="144">
        <f>bargiri[[#This Row],[میزان بارگیری شده]]*bargiri[[#This Row],[فی]]</f>
        <v>1380400000</v>
      </c>
      <c r="I1256" s="321">
        <f>IF(year=bargiri[[#This Row],[سال]],1,0)</f>
        <v>0</v>
      </c>
    </row>
    <row r="1257" spans="1:9" ht="18.600000000000001" hidden="1" x14ac:dyDescent="0.25">
      <c r="A1257" s="321" t="s">
        <v>444</v>
      </c>
      <c r="B1257" s="321" t="s">
        <v>104</v>
      </c>
      <c r="C1257" s="318" t="s">
        <v>41</v>
      </c>
      <c r="D1257">
        <v>18140</v>
      </c>
      <c r="E1257" s="143">
        <v>85000</v>
      </c>
      <c r="F1257" s="117">
        <v>1403</v>
      </c>
      <c r="G1257" s="321" t="s">
        <v>301</v>
      </c>
      <c r="H1257" s="144">
        <f>bargiri[[#This Row],[میزان بارگیری شده]]*bargiri[[#This Row],[فی]]</f>
        <v>1541900000</v>
      </c>
      <c r="I1257" s="321">
        <f>IF(year=bargiri[[#This Row],[سال]],1,0)</f>
        <v>0</v>
      </c>
    </row>
    <row r="1258" spans="1:9" ht="18.600000000000001" hidden="1" x14ac:dyDescent="0.25">
      <c r="A1258" s="321" t="s">
        <v>444</v>
      </c>
      <c r="B1258" s="321" t="s">
        <v>116</v>
      </c>
      <c r="C1258" s="318" t="s">
        <v>77</v>
      </c>
      <c r="D1258">
        <v>20200</v>
      </c>
      <c r="E1258" s="143">
        <v>68500</v>
      </c>
      <c r="F1258" s="117">
        <v>1403</v>
      </c>
      <c r="G1258" s="321" t="s">
        <v>301</v>
      </c>
      <c r="H1258" s="144">
        <f>bargiri[[#This Row],[میزان بارگیری شده]]*bargiri[[#This Row],[فی]]</f>
        <v>1383700000</v>
      </c>
      <c r="I1258" s="321">
        <f>IF(year=bargiri[[#This Row],[سال]],1,0)</f>
        <v>0</v>
      </c>
    </row>
    <row r="1259" spans="1:9" ht="18.600000000000001" hidden="1" x14ac:dyDescent="0.25">
      <c r="A1259" s="321" t="s">
        <v>445</v>
      </c>
      <c r="B1259" s="321" t="s">
        <v>116</v>
      </c>
      <c r="C1259" s="318" t="s">
        <v>77</v>
      </c>
      <c r="D1259">
        <v>19995</v>
      </c>
      <c r="E1259" s="143">
        <v>68500</v>
      </c>
      <c r="F1259" s="117">
        <v>1403</v>
      </c>
      <c r="G1259" s="321" t="s">
        <v>301</v>
      </c>
      <c r="H1259" s="144">
        <f>bargiri[[#This Row],[میزان بارگیری شده]]*bargiri[[#This Row],[فی]]</f>
        <v>1369657500</v>
      </c>
      <c r="I1259" s="321">
        <f>IF(year=bargiri[[#This Row],[سال]],1,0)</f>
        <v>0</v>
      </c>
    </row>
    <row r="1260" spans="1:9" ht="18.600000000000001" hidden="1" x14ac:dyDescent="0.25">
      <c r="A1260" s="321" t="s">
        <v>445</v>
      </c>
      <c r="B1260" s="321" t="s">
        <v>116</v>
      </c>
      <c r="C1260" s="318" t="s">
        <v>77</v>
      </c>
      <c r="D1260">
        <v>8120</v>
      </c>
      <c r="E1260" s="143">
        <v>68500</v>
      </c>
      <c r="F1260" s="117">
        <v>1403</v>
      </c>
      <c r="G1260" s="321" t="s">
        <v>301</v>
      </c>
      <c r="H1260" s="144">
        <f>bargiri[[#This Row],[میزان بارگیری شده]]*bargiri[[#This Row],[فی]]</f>
        <v>556220000</v>
      </c>
      <c r="I1260" s="321">
        <f>IF(year=bargiri[[#This Row],[سال]],1,0)</f>
        <v>0</v>
      </c>
    </row>
    <row r="1261" spans="1:9" ht="18.600000000000001" hidden="1" x14ac:dyDescent="0.25">
      <c r="A1261" s="321" t="s">
        <v>445</v>
      </c>
      <c r="B1261" s="321" t="s">
        <v>117</v>
      </c>
      <c r="C1261" s="318" t="s">
        <v>82</v>
      </c>
      <c r="D1261">
        <v>20285</v>
      </c>
      <c r="E1261" s="143">
        <v>70000</v>
      </c>
      <c r="F1261" s="117">
        <v>1403</v>
      </c>
      <c r="G1261" s="321" t="s">
        <v>301</v>
      </c>
      <c r="H1261" s="144">
        <f>bargiri[[#This Row],[میزان بارگیری شده]]*bargiri[[#This Row],[فی]]</f>
        <v>1419950000</v>
      </c>
      <c r="I1261" s="321">
        <f>IF(year=bargiri[[#This Row],[سال]],1,0)</f>
        <v>0</v>
      </c>
    </row>
    <row r="1262" spans="1:9" ht="18.600000000000001" hidden="1" x14ac:dyDescent="0.25">
      <c r="A1262" s="321" t="s">
        <v>438</v>
      </c>
      <c r="B1262" s="321" t="s">
        <v>99</v>
      </c>
      <c r="C1262" s="318" t="s">
        <v>13</v>
      </c>
      <c r="D1262">
        <v>19035</v>
      </c>
      <c r="E1262" s="143">
        <v>65000</v>
      </c>
      <c r="F1262" s="117">
        <v>1403</v>
      </c>
      <c r="G1262" s="321" t="s">
        <v>301</v>
      </c>
      <c r="H1262" s="144">
        <f>bargiri[[#This Row],[میزان بارگیری شده]]*bargiri[[#This Row],[فی]]</f>
        <v>1237275000</v>
      </c>
      <c r="I1262" s="321">
        <f>IF(year=bargiri[[#This Row],[سال]],1,0)</f>
        <v>0</v>
      </c>
    </row>
    <row r="1263" spans="1:9" ht="18.600000000000001" hidden="1" x14ac:dyDescent="0.25">
      <c r="A1263" s="321" t="s">
        <v>438</v>
      </c>
      <c r="B1263" s="321" t="s">
        <v>102</v>
      </c>
      <c r="C1263" s="318" t="s">
        <v>26</v>
      </c>
      <c r="D1263">
        <v>11410</v>
      </c>
      <c r="E1263" s="143">
        <v>70000</v>
      </c>
      <c r="F1263" s="117">
        <v>1403</v>
      </c>
      <c r="G1263" s="321" t="s">
        <v>301</v>
      </c>
      <c r="H1263" s="144">
        <f>bargiri[[#This Row],[میزان بارگیری شده]]*bargiri[[#This Row],[فی]]</f>
        <v>798700000</v>
      </c>
      <c r="I1263" s="321">
        <f>IF(year=bargiri[[#This Row],[سال]],1,0)</f>
        <v>0</v>
      </c>
    </row>
    <row r="1264" spans="1:9" ht="18.600000000000001" hidden="1" x14ac:dyDescent="0.25">
      <c r="A1264" s="321" t="s">
        <v>438</v>
      </c>
      <c r="B1264" s="321" t="s">
        <v>115</v>
      </c>
      <c r="C1264" s="318" t="s">
        <v>65</v>
      </c>
      <c r="D1264">
        <v>22180</v>
      </c>
      <c r="E1264" s="143">
        <v>75000</v>
      </c>
      <c r="F1264" s="117">
        <v>1403</v>
      </c>
      <c r="G1264" s="321" t="s">
        <v>301</v>
      </c>
      <c r="H1264" s="144">
        <f>bargiri[[#This Row],[میزان بارگیری شده]]*bargiri[[#This Row],[فی]]</f>
        <v>1663500000</v>
      </c>
      <c r="I1264" s="321">
        <f>IF(year=bargiri[[#This Row],[سال]],1,0)</f>
        <v>0</v>
      </c>
    </row>
    <row r="1265" spans="1:9" ht="18.600000000000001" hidden="1" x14ac:dyDescent="0.25">
      <c r="A1265" s="321" t="s">
        <v>438</v>
      </c>
      <c r="B1265" s="321" t="s">
        <v>116</v>
      </c>
      <c r="C1265" s="318" t="s">
        <v>77</v>
      </c>
      <c r="D1265">
        <v>20165</v>
      </c>
      <c r="E1265" s="143">
        <v>68500</v>
      </c>
      <c r="F1265" s="117">
        <v>1403</v>
      </c>
      <c r="G1265" s="321" t="s">
        <v>301</v>
      </c>
      <c r="H1265" s="144">
        <f>bargiri[[#This Row],[میزان بارگیری شده]]*bargiri[[#This Row],[فی]]</f>
        <v>1381302500</v>
      </c>
      <c r="I1265" s="321">
        <f>IF(year=bargiri[[#This Row],[سال]],1,0)</f>
        <v>0</v>
      </c>
    </row>
    <row r="1266" spans="1:9" ht="18.600000000000001" hidden="1" x14ac:dyDescent="0.25">
      <c r="A1266" s="321" t="s">
        <v>438</v>
      </c>
      <c r="B1266" s="321" t="s">
        <v>104</v>
      </c>
      <c r="C1266" s="318" t="s">
        <v>41</v>
      </c>
      <c r="D1266">
        <v>18055</v>
      </c>
      <c r="E1266" s="143">
        <v>85000</v>
      </c>
      <c r="F1266" s="117">
        <v>1403</v>
      </c>
      <c r="G1266" s="321" t="s">
        <v>301</v>
      </c>
      <c r="H1266" s="144">
        <f>bargiri[[#This Row],[میزان بارگیری شده]]*bargiri[[#This Row],[فی]]</f>
        <v>1534675000</v>
      </c>
      <c r="I1266" s="321">
        <f>IF(year=bargiri[[#This Row],[سال]],1,0)</f>
        <v>0</v>
      </c>
    </row>
    <row r="1267" spans="1:9" ht="18.600000000000001" hidden="1" x14ac:dyDescent="0.25">
      <c r="A1267" s="321" t="s">
        <v>439</v>
      </c>
      <c r="B1267" s="321" t="s">
        <v>116</v>
      </c>
      <c r="C1267" s="318" t="s">
        <v>77</v>
      </c>
      <c r="D1267">
        <v>20205</v>
      </c>
      <c r="E1267" s="143">
        <v>68500</v>
      </c>
      <c r="F1267" s="117">
        <v>1403</v>
      </c>
      <c r="G1267" s="321" t="s">
        <v>301</v>
      </c>
      <c r="H1267" s="144">
        <f>bargiri[[#This Row],[میزان بارگیری شده]]*bargiri[[#This Row],[فی]]</f>
        <v>1384042500</v>
      </c>
      <c r="I1267" s="321">
        <f>IF(year=bargiri[[#This Row],[سال]],1,0)</f>
        <v>0</v>
      </c>
    </row>
    <row r="1268" spans="1:9" ht="18.600000000000001" hidden="1" x14ac:dyDescent="0.25">
      <c r="A1268" s="321" t="s">
        <v>439</v>
      </c>
      <c r="B1268" s="321" t="s">
        <v>115</v>
      </c>
      <c r="C1268" s="318" t="s">
        <v>65</v>
      </c>
      <c r="D1268">
        <v>21965</v>
      </c>
      <c r="E1268" s="143">
        <v>75000</v>
      </c>
      <c r="F1268" s="117">
        <v>1403</v>
      </c>
      <c r="G1268" s="321" t="s">
        <v>301</v>
      </c>
      <c r="H1268" s="144">
        <f>bargiri[[#This Row],[میزان بارگیری شده]]*bargiri[[#This Row],[فی]]</f>
        <v>1647375000</v>
      </c>
      <c r="I1268" s="321">
        <f>IF(year=bargiri[[#This Row],[سال]],1,0)</f>
        <v>0</v>
      </c>
    </row>
    <row r="1269" spans="1:9" ht="18.600000000000001" x14ac:dyDescent="0.25">
      <c r="A1269" s="321" t="s">
        <v>439</v>
      </c>
      <c r="B1269" s="321" t="s">
        <v>118</v>
      </c>
      <c r="C1269" s="318" t="s">
        <v>85</v>
      </c>
      <c r="D1269">
        <v>20520</v>
      </c>
      <c r="E1269" s="143">
        <v>56881</v>
      </c>
      <c r="F1269" s="117">
        <v>1403</v>
      </c>
      <c r="G1269" s="321" t="s">
        <v>301</v>
      </c>
      <c r="H1269" s="144">
        <f>bargiri[[#This Row],[میزان بارگیری شده]]*bargiri[[#This Row],[فی]]</f>
        <v>1167198120</v>
      </c>
      <c r="I1269" s="321">
        <f>IF(year=bargiri[[#This Row],[سال]],1,0)</f>
        <v>0</v>
      </c>
    </row>
    <row r="1270" spans="1:9" ht="18.600000000000001" x14ac:dyDescent="0.25">
      <c r="A1270" s="321" t="s">
        <v>439</v>
      </c>
      <c r="B1270" s="321" t="s">
        <v>118</v>
      </c>
      <c r="C1270" s="318" t="s">
        <v>85</v>
      </c>
      <c r="D1270">
        <v>20470</v>
      </c>
      <c r="E1270" s="143">
        <v>56881</v>
      </c>
      <c r="F1270" s="117">
        <v>1403</v>
      </c>
      <c r="G1270" s="321" t="s">
        <v>301</v>
      </c>
      <c r="H1270" s="144">
        <f>bargiri[[#This Row],[میزان بارگیری شده]]*bargiri[[#This Row],[فی]]</f>
        <v>1164354070</v>
      </c>
      <c r="I1270" s="321">
        <f>IF(year=bargiri[[#This Row],[سال]],1,0)</f>
        <v>0</v>
      </c>
    </row>
    <row r="1271" spans="1:9" ht="18.600000000000001" x14ac:dyDescent="0.25">
      <c r="A1271" s="321" t="s">
        <v>439</v>
      </c>
      <c r="B1271" s="321" t="s">
        <v>118</v>
      </c>
      <c r="C1271" s="318" t="s">
        <v>85</v>
      </c>
      <c r="D1271">
        <v>21180</v>
      </c>
      <c r="E1271" s="143">
        <v>56881</v>
      </c>
      <c r="F1271" s="117">
        <v>1403</v>
      </c>
      <c r="G1271" s="321" t="s">
        <v>301</v>
      </c>
      <c r="H1271" s="144">
        <f>bargiri[[#This Row],[میزان بارگیری شده]]*bargiri[[#This Row],[فی]]</f>
        <v>1204739580</v>
      </c>
      <c r="I1271" s="321">
        <f>IF(year=bargiri[[#This Row],[سال]],1,0)</f>
        <v>0</v>
      </c>
    </row>
    <row r="1272" spans="1:9" ht="18.600000000000001" hidden="1" x14ac:dyDescent="0.25">
      <c r="A1272" s="321" t="s">
        <v>439</v>
      </c>
      <c r="B1272" s="321" t="s">
        <v>99</v>
      </c>
      <c r="C1272" s="318" t="s">
        <v>13</v>
      </c>
      <c r="D1272">
        <v>19050</v>
      </c>
      <c r="E1272" s="143">
        <v>65000</v>
      </c>
      <c r="F1272" s="117">
        <v>1403</v>
      </c>
      <c r="G1272" s="321" t="s">
        <v>301</v>
      </c>
      <c r="H1272" s="144">
        <f>bargiri[[#This Row],[میزان بارگیری شده]]*bargiri[[#This Row],[فی]]</f>
        <v>1238250000</v>
      </c>
      <c r="I1272" s="321">
        <f>IF(year=bargiri[[#This Row],[سال]],1,0)</f>
        <v>0</v>
      </c>
    </row>
    <row r="1273" spans="1:9" ht="18.600000000000001" hidden="1" x14ac:dyDescent="0.25">
      <c r="A1273" s="321" t="s">
        <v>440</v>
      </c>
      <c r="B1273" s="321" t="s">
        <v>102</v>
      </c>
      <c r="C1273" s="318" t="s">
        <v>26</v>
      </c>
      <c r="D1273">
        <v>11740</v>
      </c>
      <c r="E1273" s="143">
        <v>70000</v>
      </c>
      <c r="F1273" s="117">
        <v>1403</v>
      </c>
      <c r="G1273" s="321" t="s">
        <v>301</v>
      </c>
      <c r="H1273" s="144">
        <f>bargiri[[#This Row],[میزان بارگیری شده]]*bargiri[[#This Row],[فی]]</f>
        <v>821800000</v>
      </c>
      <c r="I1273" s="321">
        <f>IF(year=bargiri[[#This Row],[سال]],1,0)</f>
        <v>0</v>
      </c>
    </row>
    <row r="1274" spans="1:9" ht="18.600000000000001" x14ac:dyDescent="0.25">
      <c r="A1274" s="321" t="s">
        <v>440</v>
      </c>
      <c r="B1274" s="321" t="s">
        <v>118</v>
      </c>
      <c r="C1274" s="318" t="s">
        <v>85</v>
      </c>
      <c r="D1274">
        <v>20460</v>
      </c>
      <c r="E1274" s="143">
        <v>56881</v>
      </c>
      <c r="F1274" s="117">
        <v>1403</v>
      </c>
      <c r="G1274" s="321" t="s">
        <v>301</v>
      </c>
      <c r="H1274" s="144">
        <f>bargiri[[#This Row],[میزان بارگیری شده]]*bargiri[[#This Row],[فی]]</f>
        <v>1163785260</v>
      </c>
      <c r="I1274" s="321">
        <f>IF(year=bargiri[[#This Row],[سال]],1,0)</f>
        <v>0</v>
      </c>
    </row>
    <row r="1275" spans="1:9" ht="18.600000000000001" x14ac:dyDescent="0.25">
      <c r="A1275" s="321" t="s">
        <v>440</v>
      </c>
      <c r="B1275" s="321" t="s">
        <v>118</v>
      </c>
      <c r="C1275" s="318" t="s">
        <v>85</v>
      </c>
      <c r="D1275">
        <v>20925</v>
      </c>
      <c r="E1275" s="143">
        <v>56881</v>
      </c>
      <c r="F1275" s="117">
        <v>1403</v>
      </c>
      <c r="G1275" s="321" t="s">
        <v>301</v>
      </c>
      <c r="H1275" s="144">
        <f>bargiri[[#This Row],[میزان بارگیری شده]]*bargiri[[#This Row],[فی]]</f>
        <v>1190234925</v>
      </c>
      <c r="I1275" s="321">
        <f>IF(year=bargiri[[#This Row],[سال]],1,0)</f>
        <v>0</v>
      </c>
    </row>
    <row r="1276" spans="1:9" ht="18.600000000000001" x14ac:dyDescent="0.25">
      <c r="A1276" s="321" t="s">
        <v>440</v>
      </c>
      <c r="B1276" s="321" t="s">
        <v>118</v>
      </c>
      <c r="C1276" s="318" t="s">
        <v>85</v>
      </c>
      <c r="D1276">
        <v>21000</v>
      </c>
      <c r="E1276" s="143">
        <v>56881</v>
      </c>
      <c r="F1276" s="117">
        <v>1403</v>
      </c>
      <c r="G1276" s="321" t="s">
        <v>301</v>
      </c>
      <c r="H1276" s="144">
        <f>bargiri[[#This Row],[میزان بارگیری شده]]*bargiri[[#This Row],[فی]]</f>
        <v>1194501000</v>
      </c>
      <c r="I1276" s="321">
        <f>IF(year=bargiri[[#This Row],[سال]],1,0)</f>
        <v>0</v>
      </c>
    </row>
    <row r="1277" spans="1:9" ht="18.600000000000001" hidden="1" x14ac:dyDescent="0.25">
      <c r="A1277" s="321" t="s">
        <v>440</v>
      </c>
      <c r="B1277" s="321" t="s">
        <v>106</v>
      </c>
      <c r="C1277" s="318" t="s">
        <v>48</v>
      </c>
      <c r="D1277">
        <v>20225</v>
      </c>
      <c r="E1277" s="143">
        <v>65000</v>
      </c>
      <c r="F1277" s="117">
        <v>1403</v>
      </c>
      <c r="G1277" s="321" t="s">
        <v>301</v>
      </c>
      <c r="H1277" s="144">
        <f>bargiri[[#This Row],[میزان بارگیری شده]]*bargiri[[#This Row],[فی]]</f>
        <v>1314625000</v>
      </c>
      <c r="I1277" s="321">
        <f>IF(year=bargiri[[#This Row],[سال]],1,0)</f>
        <v>0</v>
      </c>
    </row>
    <row r="1278" spans="1:9" ht="18.600000000000001" hidden="1" x14ac:dyDescent="0.25">
      <c r="A1278" s="321" t="s">
        <v>440</v>
      </c>
      <c r="B1278" s="321" t="s">
        <v>104</v>
      </c>
      <c r="C1278" s="318" t="s">
        <v>41</v>
      </c>
      <c r="D1278">
        <v>18270</v>
      </c>
      <c r="E1278" s="143">
        <v>85000</v>
      </c>
      <c r="F1278" s="117">
        <v>1403</v>
      </c>
      <c r="G1278" s="321" t="s">
        <v>301</v>
      </c>
      <c r="H1278" s="144">
        <f>bargiri[[#This Row],[میزان بارگیری شده]]*bargiri[[#This Row],[فی]]</f>
        <v>1552950000</v>
      </c>
      <c r="I1278" s="321">
        <f>IF(year=bargiri[[#This Row],[سال]],1,0)</f>
        <v>0</v>
      </c>
    </row>
    <row r="1279" spans="1:9" ht="18.600000000000001" hidden="1" x14ac:dyDescent="0.25">
      <c r="A1279" s="321" t="s">
        <v>440</v>
      </c>
      <c r="B1279" s="321" t="s">
        <v>116</v>
      </c>
      <c r="C1279" s="318" t="s">
        <v>77</v>
      </c>
      <c r="D1279">
        <v>19880</v>
      </c>
      <c r="E1279" s="143">
        <v>68500</v>
      </c>
      <c r="F1279" s="117">
        <v>1403</v>
      </c>
      <c r="G1279" s="321" t="s">
        <v>301</v>
      </c>
      <c r="H1279" s="144">
        <f>bargiri[[#This Row],[میزان بارگیری شده]]*bargiri[[#This Row],[فی]]</f>
        <v>1361780000</v>
      </c>
      <c r="I1279" s="321">
        <f>IF(year=bargiri[[#This Row],[سال]],1,0)</f>
        <v>0</v>
      </c>
    </row>
    <row r="1280" spans="1:9" ht="18.600000000000001" hidden="1" x14ac:dyDescent="0.25">
      <c r="A1280" s="321" t="s">
        <v>440</v>
      </c>
      <c r="B1280" s="321" t="s">
        <v>98</v>
      </c>
      <c r="C1280" s="318" t="s">
        <v>11</v>
      </c>
      <c r="D1280">
        <v>22540</v>
      </c>
      <c r="E1280" s="143">
        <v>77000</v>
      </c>
      <c r="F1280" s="117">
        <v>1403</v>
      </c>
      <c r="G1280" s="321" t="s">
        <v>301</v>
      </c>
      <c r="H1280" s="144">
        <f>bargiri[[#This Row],[میزان بارگیری شده]]*bargiri[[#This Row],[فی]]</f>
        <v>1735580000</v>
      </c>
      <c r="I1280" s="321">
        <f>IF(year=bargiri[[#This Row],[سال]],1,0)</f>
        <v>0</v>
      </c>
    </row>
    <row r="1281" spans="1:9" ht="18.600000000000001" hidden="1" x14ac:dyDescent="0.25">
      <c r="A1281" s="321" t="s">
        <v>446</v>
      </c>
      <c r="B1281" s="321" t="s">
        <v>106</v>
      </c>
      <c r="C1281" s="318" t="s">
        <v>48</v>
      </c>
      <c r="D1281">
        <v>20070</v>
      </c>
      <c r="E1281" s="143">
        <v>65000</v>
      </c>
      <c r="F1281" s="117">
        <v>1403</v>
      </c>
      <c r="G1281" s="321" t="s">
        <v>302</v>
      </c>
      <c r="H1281" s="144">
        <f>bargiri[[#This Row],[میزان بارگیری شده]]*bargiri[[#This Row],[فی]]</f>
        <v>1304550000</v>
      </c>
      <c r="I1281" s="321">
        <f>IF(year=bargiri[[#This Row],[سال]],1,0)</f>
        <v>0</v>
      </c>
    </row>
    <row r="1282" spans="1:9" ht="18.600000000000001" hidden="1" x14ac:dyDescent="0.25">
      <c r="A1282" s="321" t="s">
        <v>446</v>
      </c>
      <c r="B1282" s="321" t="s">
        <v>117</v>
      </c>
      <c r="C1282" s="318" t="s">
        <v>82</v>
      </c>
      <c r="D1282">
        <v>19955</v>
      </c>
      <c r="E1282" s="143">
        <v>70000</v>
      </c>
      <c r="F1282" s="117">
        <v>1403</v>
      </c>
      <c r="G1282" s="321" t="s">
        <v>302</v>
      </c>
      <c r="H1282" s="144">
        <f>bargiri[[#This Row],[میزان بارگیری شده]]*bargiri[[#This Row],[فی]]</f>
        <v>1396850000</v>
      </c>
      <c r="I1282" s="321">
        <f>IF(year=bargiri[[#This Row],[سال]],1,0)</f>
        <v>0</v>
      </c>
    </row>
    <row r="1283" spans="1:9" ht="18.600000000000001" hidden="1" x14ac:dyDescent="0.25">
      <c r="A1283" s="321" t="s">
        <v>446</v>
      </c>
      <c r="B1283" s="321" t="s">
        <v>115</v>
      </c>
      <c r="C1283" s="318" t="s">
        <v>65</v>
      </c>
      <c r="D1283">
        <v>22045</v>
      </c>
      <c r="E1283" s="143">
        <v>75000</v>
      </c>
      <c r="F1283" s="117">
        <v>1403</v>
      </c>
      <c r="G1283" s="321" t="s">
        <v>302</v>
      </c>
      <c r="H1283" s="144">
        <f>bargiri[[#This Row],[میزان بارگیری شده]]*bargiri[[#This Row],[فی]]</f>
        <v>1653375000</v>
      </c>
      <c r="I1283" s="321">
        <f>IF(year=bargiri[[#This Row],[سال]],1,0)</f>
        <v>0</v>
      </c>
    </row>
    <row r="1284" spans="1:9" ht="18.600000000000001" hidden="1" x14ac:dyDescent="0.25">
      <c r="A1284" s="321" t="s">
        <v>446</v>
      </c>
      <c r="B1284" s="321" t="s">
        <v>99</v>
      </c>
      <c r="C1284" s="318" t="s">
        <v>13</v>
      </c>
      <c r="D1284">
        <v>18990</v>
      </c>
      <c r="E1284" s="143">
        <v>65000</v>
      </c>
      <c r="F1284" s="117">
        <v>1403</v>
      </c>
      <c r="G1284" s="321" t="s">
        <v>302</v>
      </c>
      <c r="H1284" s="144">
        <f>bargiri[[#This Row],[میزان بارگیری شده]]*bargiri[[#This Row],[فی]]</f>
        <v>1234350000</v>
      </c>
      <c r="I1284" s="321">
        <f>IF(year=bargiri[[#This Row],[سال]],1,0)</f>
        <v>0</v>
      </c>
    </row>
    <row r="1285" spans="1:9" ht="18.600000000000001" hidden="1" x14ac:dyDescent="0.25">
      <c r="A1285" s="321" t="s">
        <v>446</v>
      </c>
      <c r="B1285" s="321" t="s">
        <v>124</v>
      </c>
      <c r="C1285" s="318" t="s">
        <v>94</v>
      </c>
      <c r="D1285">
        <v>20010</v>
      </c>
      <c r="E1285" s="143">
        <v>70000</v>
      </c>
      <c r="F1285" s="117">
        <v>1403</v>
      </c>
      <c r="G1285" s="321" t="s">
        <v>302</v>
      </c>
      <c r="H1285" s="144">
        <f>bargiri[[#This Row],[میزان بارگیری شده]]*bargiri[[#This Row],[فی]]</f>
        <v>1400700000</v>
      </c>
      <c r="I1285" s="321">
        <f>IF(year=bargiri[[#This Row],[سال]],1,0)</f>
        <v>0</v>
      </c>
    </row>
    <row r="1286" spans="1:9" ht="18.600000000000001" hidden="1" x14ac:dyDescent="0.25">
      <c r="A1286" s="321" t="s">
        <v>447</v>
      </c>
      <c r="B1286" s="321" t="s">
        <v>116</v>
      </c>
      <c r="C1286" s="318" t="s">
        <v>77</v>
      </c>
      <c r="D1286">
        <v>8060</v>
      </c>
      <c r="E1286" s="143">
        <v>68500</v>
      </c>
      <c r="F1286" s="117">
        <v>1403</v>
      </c>
      <c r="G1286" s="321" t="s">
        <v>302</v>
      </c>
      <c r="H1286" s="144">
        <f>bargiri[[#This Row],[میزان بارگیری شده]]*bargiri[[#This Row],[فی]]</f>
        <v>552110000</v>
      </c>
      <c r="I1286" s="321">
        <f>IF(year=bargiri[[#This Row],[سال]],1,0)</f>
        <v>0</v>
      </c>
    </row>
    <row r="1287" spans="1:9" ht="18.600000000000001" hidden="1" x14ac:dyDescent="0.25">
      <c r="A1287" s="321" t="s">
        <v>447</v>
      </c>
      <c r="B1287" s="321" t="s">
        <v>116</v>
      </c>
      <c r="C1287" s="318" t="s">
        <v>77</v>
      </c>
      <c r="D1287">
        <v>20180</v>
      </c>
      <c r="E1287" s="143">
        <v>68500</v>
      </c>
      <c r="F1287" s="117">
        <v>1403</v>
      </c>
      <c r="G1287" s="321" t="s">
        <v>302</v>
      </c>
      <c r="H1287" s="144">
        <f>bargiri[[#This Row],[میزان بارگیری شده]]*bargiri[[#This Row],[فی]]</f>
        <v>1382330000</v>
      </c>
      <c r="I1287" s="321">
        <f>IF(year=bargiri[[#This Row],[سال]],1,0)</f>
        <v>0</v>
      </c>
    </row>
    <row r="1288" spans="1:9" ht="18.600000000000001" x14ac:dyDescent="0.25">
      <c r="A1288" s="321" t="s">
        <v>448</v>
      </c>
      <c r="B1288" s="321" t="s">
        <v>118</v>
      </c>
      <c r="C1288" s="318" t="s">
        <v>85</v>
      </c>
      <c r="D1288">
        <v>20950</v>
      </c>
      <c r="E1288" s="143">
        <v>56881</v>
      </c>
      <c r="F1288" s="117">
        <v>1403</v>
      </c>
      <c r="G1288" s="321" t="s">
        <v>302</v>
      </c>
      <c r="H1288" s="144">
        <f>bargiri[[#This Row],[میزان بارگیری شده]]*bargiri[[#This Row],[فی]]</f>
        <v>1191656950</v>
      </c>
      <c r="I1288" s="321">
        <f>IF(year=bargiri[[#This Row],[سال]],1,0)</f>
        <v>0</v>
      </c>
    </row>
    <row r="1289" spans="1:9" ht="18.600000000000001" x14ac:dyDescent="0.25">
      <c r="A1289" s="321" t="s">
        <v>448</v>
      </c>
      <c r="B1289" s="321" t="s">
        <v>118</v>
      </c>
      <c r="C1289" s="318" t="s">
        <v>85</v>
      </c>
      <c r="D1289">
        <v>20885</v>
      </c>
      <c r="E1289" s="143">
        <v>56881</v>
      </c>
      <c r="F1289" s="117">
        <v>1403</v>
      </c>
      <c r="G1289" s="321" t="s">
        <v>302</v>
      </c>
      <c r="H1289" s="144">
        <f>bargiri[[#This Row],[میزان بارگیری شده]]*bargiri[[#This Row],[فی]]</f>
        <v>1187959685</v>
      </c>
      <c r="I1289" s="321">
        <f>IF(year=bargiri[[#This Row],[سال]],1,0)</f>
        <v>0</v>
      </c>
    </row>
    <row r="1290" spans="1:9" ht="18.600000000000001" x14ac:dyDescent="0.25">
      <c r="A1290" s="321" t="s">
        <v>448</v>
      </c>
      <c r="B1290" s="321" t="s">
        <v>118</v>
      </c>
      <c r="C1290" s="318" t="s">
        <v>85</v>
      </c>
      <c r="D1290">
        <v>20925</v>
      </c>
      <c r="E1290" s="143">
        <v>56881</v>
      </c>
      <c r="F1290" s="117">
        <v>1403</v>
      </c>
      <c r="G1290" s="321" t="s">
        <v>302</v>
      </c>
      <c r="H1290" s="144">
        <f>bargiri[[#This Row],[میزان بارگیری شده]]*bargiri[[#This Row],[فی]]</f>
        <v>1190234925</v>
      </c>
      <c r="I1290" s="321">
        <f>IF(year=bargiri[[#This Row],[سال]],1,0)</f>
        <v>0</v>
      </c>
    </row>
    <row r="1291" spans="1:9" ht="18.600000000000001" hidden="1" x14ac:dyDescent="0.25">
      <c r="A1291" s="321" t="s">
        <v>448</v>
      </c>
      <c r="B1291" s="321" t="s">
        <v>116</v>
      </c>
      <c r="C1291" s="318" t="s">
        <v>77</v>
      </c>
      <c r="D1291">
        <v>19945</v>
      </c>
      <c r="E1291" s="143">
        <v>68500</v>
      </c>
      <c r="F1291" s="117">
        <v>1403</v>
      </c>
      <c r="G1291" s="321" t="s">
        <v>302</v>
      </c>
      <c r="H1291" s="144">
        <f>bargiri[[#This Row],[میزان بارگیری شده]]*bargiri[[#This Row],[فی]]</f>
        <v>1366232500</v>
      </c>
      <c r="I1291" s="321">
        <f>IF(year=bargiri[[#This Row],[سال]],1,0)</f>
        <v>0</v>
      </c>
    </row>
    <row r="1292" spans="1:9" ht="18.600000000000001" hidden="1" x14ac:dyDescent="0.25">
      <c r="A1292" s="321" t="s">
        <v>448</v>
      </c>
      <c r="B1292" s="321" t="s">
        <v>110</v>
      </c>
      <c r="C1292" s="318" t="s">
        <v>57</v>
      </c>
      <c r="D1292">
        <v>19930</v>
      </c>
      <c r="E1292" s="143">
        <v>78000</v>
      </c>
      <c r="F1292" s="117">
        <v>1403</v>
      </c>
      <c r="G1292" s="321" t="s">
        <v>302</v>
      </c>
      <c r="H1292" s="144">
        <f>bargiri[[#This Row],[میزان بارگیری شده]]*bargiri[[#This Row],[فی]]</f>
        <v>1554540000</v>
      </c>
      <c r="I1292" s="321">
        <f>IF(year=bargiri[[#This Row],[سال]],1,0)</f>
        <v>0</v>
      </c>
    </row>
    <row r="1293" spans="1:9" ht="18.600000000000001" hidden="1" x14ac:dyDescent="0.25">
      <c r="A1293" s="321" t="s">
        <v>448</v>
      </c>
      <c r="B1293" s="321" t="s">
        <v>102</v>
      </c>
      <c r="C1293" s="318" t="s">
        <v>26</v>
      </c>
      <c r="D1293">
        <v>11630</v>
      </c>
      <c r="E1293" s="143">
        <v>70000</v>
      </c>
      <c r="F1293" s="117">
        <v>1403</v>
      </c>
      <c r="G1293" s="321" t="s">
        <v>302</v>
      </c>
      <c r="H1293" s="144">
        <f>bargiri[[#This Row],[میزان بارگیری شده]]*bargiri[[#This Row],[فی]]</f>
        <v>814100000</v>
      </c>
      <c r="I1293" s="321">
        <f>IF(year=bargiri[[#This Row],[سال]],1,0)</f>
        <v>0</v>
      </c>
    </row>
    <row r="1294" spans="1:9" ht="18.600000000000001" hidden="1" x14ac:dyDescent="0.25">
      <c r="A1294" s="321" t="s">
        <v>448</v>
      </c>
      <c r="B1294" s="321" t="s">
        <v>106</v>
      </c>
      <c r="C1294" s="318" t="s">
        <v>48</v>
      </c>
      <c r="D1294">
        <v>20225</v>
      </c>
      <c r="E1294" s="143">
        <v>65000</v>
      </c>
      <c r="F1294" s="117">
        <v>1403</v>
      </c>
      <c r="G1294" s="321" t="s">
        <v>302</v>
      </c>
      <c r="H1294" s="144">
        <f>bargiri[[#This Row],[میزان بارگیری شده]]*bargiri[[#This Row],[فی]]</f>
        <v>1314625000</v>
      </c>
      <c r="I1294" s="321">
        <f>IF(year=bargiri[[#This Row],[سال]],1,0)</f>
        <v>0</v>
      </c>
    </row>
    <row r="1295" spans="1:9" ht="18.600000000000001" hidden="1" x14ac:dyDescent="0.25">
      <c r="A1295" s="321" t="s">
        <v>448</v>
      </c>
      <c r="B1295" s="321" t="s">
        <v>99</v>
      </c>
      <c r="C1295" s="318" t="s">
        <v>13</v>
      </c>
      <c r="D1295">
        <v>19075</v>
      </c>
      <c r="E1295" s="143">
        <v>65000</v>
      </c>
      <c r="F1295" s="117">
        <v>1403</v>
      </c>
      <c r="G1295" s="321" t="s">
        <v>302</v>
      </c>
      <c r="H1295" s="144">
        <f>bargiri[[#This Row],[میزان بارگیری شده]]*bargiri[[#This Row],[فی]]</f>
        <v>1239875000</v>
      </c>
      <c r="I1295" s="321">
        <f>IF(year=bargiri[[#This Row],[سال]],1,0)</f>
        <v>0</v>
      </c>
    </row>
    <row r="1296" spans="1:9" ht="18.600000000000001" hidden="1" x14ac:dyDescent="0.25">
      <c r="A1296" s="321" t="s">
        <v>449</v>
      </c>
      <c r="B1296" s="321" t="s">
        <v>106</v>
      </c>
      <c r="C1296" s="318" t="s">
        <v>48</v>
      </c>
      <c r="D1296">
        <v>20060</v>
      </c>
      <c r="E1296" s="143">
        <v>65000</v>
      </c>
      <c r="F1296" s="117">
        <v>1403</v>
      </c>
      <c r="G1296" s="321" t="s">
        <v>302</v>
      </c>
      <c r="H1296" s="144">
        <f>bargiri[[#This Row],[میزان بارگیری شده]]*bargiri[[#This Row],[فی]]</f>
        <v>1303900000</v>
      </c>
      <c r="I1296" s="321">
        <f>IF(year=bargiri[[#This Row],[سال]],1,0)</f>
        <v>0</v>
      </c>
    </row>
    <row r="1297" spans="1:9" ht="18.600000000000001" hidden="1" x14ac:dyDescent="0.25">
      <c r="A1297" s="321" t="s">
        <v>449</v>
      </c>
      <c r="B1297" s="321" t="s">
        <v>116</v>
      </c>
      <c r="C1297" s="318" t="s">
        <v>77</v>
      </c>
      <c r="D1297">
        <v>20015</v>
      </c>
      <c r="E1297" s="143">
        <v>68500</v>
      </c>
      <c r="F1297" s="117">
        <v>1403</v>
      </c>
      <c r="G1297" s="321" t="s">
        <v>302</v>
      </c>
      <c r="H1297" s="144">
        <f>bargiri[[#This Row],[میزان بارگیری شده]]*bargiri[[#This Row],[فی]]</f>
        <v>1371027500</v>
      </c>
      <c r="I1297" s="321">
        <f>IF(year=bargiri[[#This Row],[سال]],1,0)</f>
        <v>0</v>
      </c>
    </row>
    <row r="1298" spans="1:9" ht="18.600000000000001" hidden="1" x14ac:dyDescent="0.25">
      <c r="A1298" s="321" t="s">
        <v>449</v>
      </c>
      <c r="B1298" s="321" t="s">
        <v>104</v>
      </c>
      <c r="C1298" s="318" t="s">
        <v>41</v>
      </c>
      <c r="D1298">
        <v>18005</v>
      </c>
      <c r="E1298" s="143">
        <v>85000</v>
      </c>
      <c r="F1298" s="117">
        <v>1403</v>
      </c>
      <c r="G1298" s="321" t="s">
        <v>302</v>
      </c>
      <c r="H1298" s="144">
        <f>bargiri[[#This Row],[میزان بارگیری شده]]*bargiri[[#This Row],[فی]]</f>
        <v>1530425000</v>
      </c>
      <c r="I1298" s="321">
        <f>IF(year=bargiri[[#This Row],[سال]],1,0)</f>
        <v>0</v>
      </c>
    </row>
    <row r="1299" spans="1:9" ht="18.600000000000001" hidden="1" x14ac:dyDescent="0.25">
      <c r="A1299" s="321" t="s">
        <v>449</v>
      </c>
      <c r="B1299" s="321" t="s">
        <v>108</v>
      </c>
      <c r="C1299" s="318" t="s">
        <v>53</v>
      </c>
      <c r="D1299">
        <v>23380</v>
      </c>
      <c r="E1299" s="143">
        <v>70000</v>
      </c>
      <c r="F1299" s="117">
        <v>1403</v>
      </c>
      <c r="G1299" s="321" t="s">
        <v>302</v>
      </c>
      <c r="H1299" s="144">
        <f>bargiri[[#This Row],[میزان بارگیری شده]]*bargiri[[#This Row],[فی]]</f>
        <v>1636600000</v>
      </c>
      <c r="I1299" s="321">
        <f>IF(year=bargiri[[#This Row],[سال]],1,0)</f>
        <v>0</v>
      </c>
    </row>
    <row r="1300" spans="1:9" ht="18.600000000000001" hidden="1" x14ac:dyDescent="0.25">
      <c r="A1300" s="321" t="s">
        <v>449</v>
      </c>
      <c r="B1300" s="321" t="s">
        <v>98</v>
      </c>
      <c r="C1300" s="318" t="s">
        <v>11</v>
      </c>
      <c r="D1300">
        <v>21805</v>
      </c>
      <c r="E1300" s="143">
        <v>77000</v>
      </c>
      <c r="F1300" s="117">
        <v>1403</v>
      </c>
      <c r="G1300" s="321" t="s">
        <v>302</v>
      </c>
      <c r="H1300" s="144">
        <f>bargiri[[#This Row],[میزان بارگیری شده]]*bargiri[[#This Row],[فی]]</f>
        <v>1678985000</v>
      </c>
      <c r="I1300" s="321">
        <f>IF(year=bargiri[[#This Row],[سال]],1,0)</f>
        <v>0</v>
      </c>
    </row>
    <row r="1301" spans="1:9" ht="18.600000000000001" hidden="1" x14ac:dyDescent="0.25">
      <c r="A1301" s="321" t="s">
        <v>449</v>
      </c>
      <c r="B1301" s="321" t="s">
        <v>99</v>
      </c>
      <c r="C1301" s="318" t="s">
        <v>13</v>
      </c>
      <c r="D1301">
        <v>18515</v>
      </c>
      <c r="E1301" s="143">
        <v>65000</v>
      </c>
      <c r="F1301" s="117">
        <v>1403</v>
      </c>
      <c r="G1301" s="321" t="s">
        <v>302</v>
      </c>
      <c r="H1301" s="144">
        <f>bargiri[[#This Row],[میزان بارگیری شده]]*bargiri[[#This Row],[فی]]</f>
        <v>1203475000</v>
      </c>
      <c r="I1301" s="321">
        <f>IF(year=bargiri[[#This Row],[سال]],1,0)</f>
        <v>0</v>
      </c>
    </row>
    <row r="1302" spans="1:9" ht="18.600000000000001" hidden="1" x14ac:dyDescent="0.25">
      <c r="A1302" s="321" t="s">
        <v>450</v>
      </c>
      <c r="B1302" s="321" t="s">
        <v>116</v>
      </c>
      <c r="C1302" s="318" t="s">
        <v>77</v>
      </c>
      <c r="D1302">
        <v>20160</v>
      </c>
      <c r="E1302" s="143">
        <v>68500</v>
      </c>
      <c r="F1302" s="117">
        <v>1403</v>
      </c>
      <c r="G1302" s="321" t="s">
        <v>302</v>
      </c>
      <c r="H1302" s="144">
        <f>bargiri[[#This Row],[میزان بارگیری شده]]*bargiri[[#This Row],[فی]]</f>
        <v>1380960000</v>
      </c>
      <c r="I1302" s="321">
        <f>IF(year=bargiri[[#This Row],[سال]],1,0)</f>
        <v>0</v>
      </c>
    </row>
    <row r="1303" spans="1:9" ht="18.600000000000001" hidden="1" x14ac:dyDescent="0.25">
      <c r="A1303" s="321" t="s">
        <v>450</v>
      </c>
      <c r="B1303" s="321" t="s">
        <v>102</v>
      </c>
      <c r="C1303" s="318" t="s">
        <v>26</v>
      </c>
      <c r="D1303">
        <v>11235</v>
      </c>
      <c r="E1303" s="143">
        <v>70000</v>
      </c>
      <c r="F1303" s="117">
        <v>1403</v>
      </c>
      <c r="G1303" s="321" t="s">
        <v>302</v>
      </c>
      <c r="H1303" s="144">
        <f>bargiri[[#This Row],[میزان بارگیری شده]]*bargiri[[#This Row],[فی]]</f>
        <v>786450000</v>
      </c>
      <c r="I1303" s="321">
        <f>IF(year=bargiri[[#This Row],[سال]],1,0)</f>
        <v>0</v>
      </c>
    </row>
    <row r="1304" spans="1:9" ht="18.600000000000001" hidden="1" x14ac:dyDescent="0.25">
      <c r="A1304" s="321" t="s">
        <v>450</v>
      </c>
      <c r="B1304" s="321" t="s">
        <v>101</v>
      </c>
      <c r="C1304" s="318" t="s">
        <v>20</v>
      </c>
      <c r="D1304">
        <v>21055</v>
      </c>
      <c r="E1304" s="143">
        <v>68000</v>
      </c>
      <c r="F1304" s="117">
        <v>1403</v>
      </c>
      <c r="G1304" s="321" t="s">
        <v>302</v>
      </c>
      <c r="H1304" s="144">
        <f>bargiri[[#This Row],[میزان بارگیری شده]]*bargiri[[#This Row],[فی]]</f>
        <v>1431740000</v>
      </c>
      <c r="I1304" s="321">
        <f>IF(year=bargiri[[#This Row],[سال]],1,0)</f>
        <v>0</v>
      </c>
    </row>
    <row r="1305" spans="1:9" ht="18.600000000000001" hidden="1" x14ac:dyDescent="0.25">
      <c r="A1305" s="321" t="s">
        <v>450</v>
      </c>
      <c r="B1305" s="321" t="s">
        <v>117</v>
      </c>
      <c r="C1305" s="318" t="s">
        <v>82</v>
      </c>
      <c r="D1305">
        <v>19860</v>
      </c>
      <c r="E1305" s="143">
        <v>70000</v>
      </c>
      <c r="F1305" s="117">
        <v>1403</v>
      </c>
      <c r="G1305" s="321" t="s">
        <v>302</v>
      </c>
      <c r="H1305" s="144">
        <f>bargiri[[#This Row],[میزان بارگیری شده]]*bargiri[[#This Row],[فی]]</f>
        <v>1390200000</v>
      </c>
      <c r="I1305" s="321">
        <f>IF(year=bargiri[[#This Row],[سال]],1,0)</f>
        <v>0</v>
      </c>
    </row>
    <row r="1306" spans="1:9" ht="18.600000000000001" hidden="1" x14ac:dyDescent="0.25">
      <c r="A1306" s="321" t="s">
        <v>450</v>
      </c>
      <c r="B1306" s="321" t="s">
        <v>115</v>
      </c>
      <c r="C1306" s="318" t="s">
        <v>65</v>
      </c>
      <c r="D1306">
        <v>21460</v>
      </c>
      <c r="E1306" s="143">
        <v>75000</v>
      </c>
      <c r="F1306" s="117">
        <v>1403</v>
      </c>
      <c r="G1306" s="321" t="s">
        <v>302</v>
      </c>
      <c r="H1306" s="144">
        <f>bargiri[[#This Row],[میزان بارگیری شده]]*bargiri[[#This Row],[فی]]</f>
        <v>1609500000</v>
      </c>
      <c r="I1306" s="321">
        <f>IF(year=bargiri[[#This Row],[سال]],1,0)</f>
        <v>0</v>
      </c>
    </row>
    <row r="1307" spans="1:9" ht="18.600000000000001" hidden="1" x14ac:dyDescent="0.25">
      <c r="A1307" s="321" t="s">
        <v>450</v>
      </c>
      <c r="B1307" s="321" t="s">
        <v>99</v>
      </c>
      <c r="C1307" s="318" t="s">
        <v>13</v>
      </c>
      <c r="D1307">
        <v>19225</v>
      </c>
      <c r="E1307" s="143">
        <v>65000</v>
      </c>
      <c r="F1307" s="117">
        <v>1403</v>
      </c>
      <c r="G1307" s="321" t="s">
        <v>302</v>
      </c>
      <c r="H1307" s="144">
        <f>bargiri[[#This Row],[میزان بارگیری شده]]*bargiri[[#This Row],[فی]]</f>
        <v>1249625000</v>
      </c>
      <c r="I1307" s="321">
        <f>IF(year=bargiri[[#This Row],[سال]],1,0)</f>
        <v>0</v>
      </c>
    </row>
    <row r="1308" spans="1:9" ht="18.600000000000001" hidden="1" x14ac:dyDescent="0.25">
      <c r="A1308" s="321" t="s">
        <v>451</v>
      </c>
      <c r="B1308" s="321" t="s">
        <v>116</v>
      </c>
      <c r="C1308" s="318" t="s">
        <v>77</v>
      </c>
      <c r="D1308">
        <v>7545</v>
      </c>
      <c r="E1308" s="143">
        <v>68500</v>
      </c>
      <c r="F1308" s="117">
        <v>1403</v>
      </c>
      <c r="G1308" s="321" t="s">
        <v>302</v>
      </c>
      <c r="H1308" s="144">
        <f>bargiri[[#This Row],[میزان بارگیری شده]]*bargiri[[#This Row],[فی]]</f>
        <v>516832500</v>
      </c>
      <c r="I1308" s="321">
        <f>IF(year=bargiri[[#This Row],[سال]],1,0)</f>
        <v>0</v>
      </c>
    </row>
    <row r="1309" spans="1:9" ht="18.600000000000001" hidden="1" x14ac:dyDescent="0.25">
      <c r="A1309" s="321" t="s">
        <v>451</v>
      </c>
      <c r="B1309" s="321" t="s">
        <v>99</v>
      </c>
      <c r="C1309" s="318" t="s">
        <v>13</v>
      </c>
      <c r="D1309">
        <v>17850</v>
      </c>
      <c r="E1309" s="143">
        <v>65000</v>
      </c>
      <c r="F1309" s="117">
        <v>1403</v>
      </c>
      <c r="G1309" s="321" t="s">
        <v>302</v>
      </c>
      <c r="H1309" s="144">
        <f>bargiri[[#This Row],[میزان بارگیری شده]]*bargiri[[#This Row],[فی]]</f>
        <v>1160250000</v>
      </c>
      <c r="I1309" s="321">
        <f>IF(year=bargiri[[#This Row],[سال]],1,0)</f>
        <v>0</v>
      </c>
    </row>
    <row r="1310" spans="1:9" ht="18.600000000000001" hidden="1" x14ac:dyDescent="0.25">
      <c r="A1310" s="321" t="s">
        <v>451</v>
      </c>
      <c r="B1310" s="321" t="s">
        <v>116</v>
      </c>
      <c r="C1310" s="318" t="s">
        <v>77</v>
      </c>
      <c r="D1310">
        <v>20940</v>
      </c>
      <c r="E1310" s="143">
        <v>68500</v>
      </c>
      <c r="F1310" s="117">
        <v>1403</v>
      </c>
      <c r="G1310" s="321" t="s">
        <v>302</v>
      </c>
      <c r="H1310" s="144">
        <f>bargiri[[#This Row],[میزان بارگیری شده]]*bargiri[[#This Row],[فی]]</f>
        <v>1434390000</v>
      </c>
      <c r="I1310" s="321">
        <f>IF(year=bargiri[[#This Row],[سال]],1,0)</f>
        <v>0</v>
      </c>
    </row>
    <row r="1311" spans="1:9" ht="18.600000000000001" hidden="1" x14ac:dyDescent="0.25">
      <c r="A1311" s="321" t="s">
        <v>451</v>
      </c>
      <c r="B1311" s="321" t="s">
        <v>106</v>
      </c>
      <c r="C1311" s="318" t="s">
        <v>48</v>
      </c>
      <c r="D1311">
        <v>19965</v>
      </c>
      <c r="E1311" s="143">
        <v>65000</v>
      </c>
      <c r="F1311" s="117">
        <v>1403</v>
      </c>
      <c r="G1311" s="321" t="s">
        <v>302</v>
      </c>
      <c r="H1311" s="144">
        <f>bargiri[[#This Row],[میزان بارگیری شده]]*bargiri[[#This Row],[فی]]</f>
        <v>1297725000</v>
      </c>
      <c r="I1311" s="321">
        <f>IF(year=bargiri[[#This Row],[سال]],1,0)</f>
        <v>0</v>
      </c>
    </row>
    <row r="1312" spans="1:9" ht="18.600000000000001" x14ac:dyDescent="0.25">
      <c r="A1312" s="321" t="s">
        <v>451</v>
      </c>
      <c r="B1312" s="321" t="s">
        <v>118</v>
      </c>
      <c r="C1312" s="318" t="s">
        <v>85</v>
      </c>
      <c r="D1312">
        <v>21090</v>
      </c>
      <c r="E1312" s="143">
        <v>56881</v>
      </c>
      <c r="F1312" s="117">
        <v>1403</v>
      </c>
      <c r="G1312" s="321" t="s">
        <v>302</v>
      </c>
      <c r="H1312" s="144">
        <f>bargiri[[#This Row],[میزان بارگیری شده]]*bargiri[[#This Row],[فی]]</f>
        <v>1199620290</v>
      </c>
      <c r="I1312" s="321">
        <f>IF(year=bargiri[[#This Row],[سال]],1,0)</f>
        <v>0</v>
      </c>
    </row>
    <row r="1313" spans="1:9" ht="18.600000000000001" x14ac:dyDescent="0.25">
      <c r="A1313" s="321" t="s">
        <v>451</v>
      </c>
      <c r="B1313" s="321" t="s">
        <v>118</v>
      </c>
      <c r="C1313" s="318" t="s">
        <v>85</v>
      </c>
      <c r="D1313">
        <v>21110</v>
      </c>
      <c r="E1313" s="143">
        <v>56881</v>
      </c>
      <c r="F1313" s="117">
        <v>1403</v>
      </c>
      <c r="G1313" s="321" t="s">
        <v>302</v>
      </c>
      <c r="H1313" s="144">
        <f>bargiri[[#This Row],[میزان بارگیری شده]]*bargiri[[#This Row],[فی]]</f>
        <v>1200757910</v>
      </c>
      <c r="I1313" s="321">
        <f>IF(year=bargiri[[#This Row],[سال]],1,0)</f>
        <v>0</v>
      </c>
    </row>
    <row r="1314" spans="1:9" ht="18.600000000000001" x14ac:dyDescent="0.25">
      <c r="A1314" s="321" t="s">
        <v>451</v>
      </c>
      <c r="B1314" s="321" t="s">
        <v>118</v>
      </c>
      <c r="C1314" s="318" t="s">
        <v>85</v>
      </c>
      <c r="D1314">
        <v>21160</v>
      </c>
      <c r="E1314" s="143">
        <v>56881</v>
      </c>
      <c r="F1314" s="117">
        <v>1403</v>
      </c>
      <c r="G1314" s="321" t="s">
        <v>302</v>
      </c>
      <c r="H1314" s="144">
        <f>bargiri[[#This Row],[میزان بارگیری شده]]*bargiri[[#This Row],[فی]]</f>
        <v>1203601960</v>
      </c>
      <c r="I1314" s="321">
        <f>IF(year=bargiri[[#This Row],[سال]],1,0)</f>
        <v>0</v>
      </c>
    </row>
    <row r="1315" spans="1:9" ht="18.600000000000001" x14ac:dyDescent="0.25">
      <c r="A1315" s="321" t="s">
        <v>451</v>
      </c>
      <c r="B1315" s="321" t="s">
        <v>118</v>
      </c>
      <c r="C1315" s="318" t="s">
        <v>85</v>
      </c>
      <c r="D1315">
        <v>20485</v>
      </c>
      <c r="E1315" s="143">
        <v>56881</v>
      </c>
      <c r="F1315" s="117">
        <v>1403</v>
      </c>
      <c r="G1315" s="321" t="s">
        <v>302</v>
      </c>
      <c r="H1315" s="144">
        <f>bargiri[[#This Row],[میزان بارگیری شده]]*bargiri[[#This Row],[فی]]</f>
        <v>1165207285</v>
      </c>
      <c r="I1315" s="321">
        <f>IF(year=bargiri[[#This Row],[سال]],1,0)</f>
        <v>0</v>
      </c>
    </row>
    <row r="1316" spans="1:9" ht="18.600000000000001" hidden="1" x14ac:dyDescent="0.25">
      <c r="A1316" s="321" t="s">
        <v>451</v>
      </c>
      <c r="B1316" s="321" t="s">
        <v>104</v>
      </c>
      <c r="C1316" s="318" t="s">
        <v>41</v>
      </c>
      <c r="D1316">
        <v>18225</v>
      </c>
      <c r="E1316" s="143">
        <v>85000</v>
      </c>
      <c r="F1316" s="117">
        <v>1403</v>
      </c>
      <c r="G1316" s="321" t="s">
        <v>302</v>
      </c>
      <c r="H1316" s="144">
        <f>bargiri[[#This Row],[میزان بارگیری شده]]*bargiri[[#This Row],[فی]]</f>
        <v>1549125000</v>
      </c>
      <c r="I1316" s="321">
        <f>IF(year=bargiri[[#This Row],[سال]],1,0)</f>
        <v>0</v>
      </c>
    </row>
    <row r="1317" spans="1:9" ht="18.600000000000001" hidden="1" x14ac:dyDescent="0.25">
      <c r="A1317" s="321" t="s">
        <v>165</v>
      </c>
      <c r="B1317" s="321" t="s">
        <v>116</v>
      </c>
      <c r="C1317" s="318" t="s">
        <v>77</v>
      </c>
      <c r="D1317">
        <v>20100</v>
      </c>
      <c r="E1317" s="143">
        <v>68500</v>
      </c>
      <c r="F1317" s="117">
        <v>1403</v>
      </c>
      <c r="G1317" s="321" t="s">
        <v>302</v>
      </c>
      <c r="H1317" s="144">
        <f>bargiri[[#This Row],[میزان بارگیری شده]]*bargiri[[#This Row],[فی]]</f>
        <v>1376850000</v>
      </c>
      <c r="I1317" s="321">
        <f>IF(year=bargiri[[#This Row],[سال]],1,0)</f>
        <v>0</v>
      </c>
    </row>
    <row r="1318" spans="1:9" ht="18.600000000000001" hidden="1" x14ac:dyDescent="0.25">
      <c r="A1318" s="321" t="s">
        <v>165</v>
      </c>
      <c r="B1318" s="321" t="s">
        <v>99</v>
      </c>
      <c r="C1318" s="318" t="s">
        <v>13</v>
      </c>
      <c r="D1318">
        <v>17710</v>
      </c>
      <c r="E1318" s="143">
        <v>65000</v>
      </c>
      <c r="F1318" s="117">
        <v>1403</v>
      </c>
      <c r="G1318" s="321" t="s">
        <v>302</v>
      </c>
      <c r="H1318" s="144">
        <f>bargiri[[#This Row],[میزان بارگیری شده]]*bargiri[[#This Row],[فی]]</f>
        <v>1151150000</v>
      </c>
      <c r="I1318" s="321">
        <f>IF(year=bargiri[[#This Row],[سال]],1,0)</f>
        <v>0</v>
      </c>
    </row>
    <row r="1319" spans="1:9" ht="18.600000000000001" hidden="1" x14ac:dyDescent="0.25">
      <c r="A1319" s="321" t="s">
        <v>165</v>
      </c>
      <c r="B1319" s="321" t="s">
        <v>103</v>
      </c>
      <c r="C1319" s="318" t="s">
        <v>30</v>
      </c>
      <c r="D1319">
        <v>6370</v>
      </c>
      <c r="E1319" s="143">
        <v>70000</v>
      </c>
      <c r="F1319" s="117">
        <v>1403</v>
      </c>
      <c r="G1319" s="321" t="s">
        <v>302</v>
      </c>
      <c r="H1319" s="144">
        <f>bargiri[[#This Row],[میزان بارگیری شده]]*bargiri[[#This Row],[فی]]</f>
        <v>445900000</v>
      </c>
      <c r="I1319" s="321">
        <f>IF(year=bargiri[[#This Row],[سال]],1,0)</f>
        <v>0</v>
      </c>
    </row>
    <row r="1320" spans="1:9" ht="18.600000000000001" x14ac:dyDescent="0.25">
      <c r="A1320" s="321" t="s">
        <v>165</v>
      </c>
      <c r="B1320" s="321" t="s">
        <v>118</v>
      </c>
      <c r="C1320" s="318" t="s">
        <v>85</v>
      </c>
      <c r="D1320">
        <v>20950</v>
      </c>
      <c r="E1320" s="143">
        <v>56881</v>
      </c>
      <c r="F1320" s="117">
        <v>1403</v>
      </c>
      <c r="G1320" s="321" t="s">
        <v>302</v>
      </c>
      <c r="H1320" s="144">
        <f>bargiri[[#This Row],[میزان بارگیری شده]]*bargiri[[#This Row],[فی]]</f>
        <v>1191656950</v>
      </c>
      <c r="I1320" s="321">
        <f>IF(year=bargiri[[#This Row],[سال]],1,0)</f>
        <v>0</v>
      </c>
    </row>
    <row r="1321" spans="1:9" ht="18.600000000000001" x14ac:dyDescent="0.25">
      <c r="A1321" s="321" t="s">
        <v>165</v>
      </c>
      <c r="B1321" s="321" t="s">
        <v>118</v>
      </c>
      <c r="C1321" s="318" t="s">
        <v>85</v>
      </c>
      <c r="D1321">
        <v>20800</v>
      </c>
      <c r="E1321" s="143">
        <v>56881</v>
      </c>
      <c r="F1321" s="117">
        <v>1403</v>
      </c>
      <c r="G1321" s="321" t="s">
        <v>302</v>
      </c>
      <c r="H1321" s="144">
        <f>bargiri[[#This Row],[میزان بارگیری شده]]*bargiri[[#This Row],[فی]]</f>
        <v>1183124800</v>
      </c>
      <c r="I1321" s="321">
        <f>IF(year=bargiri[[#This Row],[سال]],1,0)</f>
        <v>0</v>
      </c>
    </row>
    <row r="1322" spans="1:9" ht="18.600000000000001" x14ac:dyDescent="0.25">
      <c r="A1322" s="321" t="s">
        <v>165</v>
      </c>
      <c r="B1322" s="321" t="s">
        <v>118</v>
      </c>
      <c r="C1322" s="318" t="s">
        <v>85</v>
      </c>
      <c r="D1322">
        <v>21055</v>
      </c>
      <c r="E1322" s="143">
        <v>56881</v>
      </c>
      <c r="F1322" s="117">
        <v>1403</v>
      </c>
      <c r="G1322" s="321" t="s">
        <v>302</v>
      </c>
      <c r="H1322" s="144">
        <f>bargiri[[#This Row],[میزان بارگیری شده]]*bargiri[[#This Row],[فی]]</f>
        <v>1197629455</v>
      </c>
      <c r="I1322" s="321">
        <f>IF(year=bargiri[[#This Row],[سال]],1,0)</f>
        <v>0</v>
      </c>
    </row>
    <row r="1323" spans="1:9" ht="18.600000000000001" hidden="1" x14ac:dyDescent="0.25">
      <c r="A1323" s="321" t="s">
        <v>165</v>
      </c>
      <c r="B1323" s="321" t="s">
        <v>104</v>
      </c>
      <c r="C1323" s="318" t="s">
        <v>41</v>
      </c>
      <c r="D1323">
        <v>17940</v>
      </c>
      <c r="E1323" s="143">
        <v>85000</v>
      </c>
      <c r="F1323" s="117">
        <v>1403</v>
      </c>
      <c r="G1323" s="321" t="s">
        <v>302</v>
      </c>
      <c r="H1323" s="144">
        <f>bargiri[[#This Row],[میزان بارگیری شده]]*bargiri[[#This Row],[فی]]</f>
        <v>1524900000</v>
      </c>
      <c r="I1323" s="321">
        <f>IF(year=bargiri[[#This Row],[سال]],1,0)</f>
        <v>0</v>
      </c>
    </row>
    <row r="1324" spans="1:9" ht="18.600000000000001" hidden="1" x14ac:dyDescent="0.25">
      <c r="A1324" s="321" t="s">
        <v>442</v>
      </c>
      <c r="B1324" s="321" t="s">
        <v>102</v>
      </c>
      <c r="C1324" s="318" t="s">
        <v>26</v>
      </c>
      <c r="D1324">
        <v>8205</v>
      </c>
      <c r="E1324" s="143">
        <v>70000</v>
      </c>
      <c r="F1324" s="117">
        <v>1403</v>
      </c>
      <c r="G1324" s="321" t="s">
        <v>302</v>
      </c>
      <c r="H1324" s="144">
        <f>bargiri[[#This Row],[میزان بارگیری شده]]*bargiri[[#This Row],[فی]]</f>
        <v>574350000</v>
      </c>
      <c r="I1324" s="321">
        <f>IF(year=bargiri[[#This Row],[سال]],1,0)</f>
        <v>0</v>
      </c>
    </row>
    <row r="1325" spans="1:9" ht="18.600000000000001" hidden="1" x14ac:dyDescent="0.25">
      <c r="A1325" s="321" t="s">
        <v>442</v>
      </c>
      <c r="B1325" s="321" t="s">
        <v>99</v>
      </c>
      <c r="C1325" s="318" t="s">
        <v>13</v>
      </c>
      <c r="D1325">
        <v>19240</v>
      </c>
      <c r="E1325" s="143">
        <v>65000</v>
      </c>
      <c r="F1325" s="117">
        <v>1403</v>
      </c>
      <c r="G1325" s="321" t="s">
        <v>302</v>
      </c>
      <c r="H1325" s="144">
        <f>bargiri[[#This Row],[میزان بارگیری شده]]*bargiri[[#This Row],[فی]]</f>
        <v>1250600000</v>
      </c>
      <c r="I1325" s="321">
        <f>IF(year=bargiri[[#This Row],[سال]],1,0)</f>
        <v>0</v>
      </c>
    </row>
    <row r="1326" spans="1:9" ht="18.600000000000001" hidden="1" x14ac:dyDescent="0.25">
      <c r="A1326" s="321" t="s">
        <v>442</v>
      </c>
      <c r="B1326" s="321" t="s">
        <v>102</v>
      </c>
      <c r="C1326" s="318" t="s">
        <v>26</v>
      </c>
      <c r="D1326">
        <v>9495</v>
      </c>
      <c r="E1326" s="143">
        <v>70000</v>
      </c>
      <c r="F1326" s="117">
        <v>1403</v>
      </c>
      <c r="G1326" s="321" t="s">
        <v>302</v>
      </c>
      <c r="H1326" s="144">
        <f>bargiri[[#This Row],[میزان بارگیری شده]]*bargiri[[#This Row],[فی]]</f>
        <v>664650000</v>
      </c>
      <c r="I1326" s="321">
        <f>IF(year=bargiri[[#This Row],[سال]],1,0)</f>
        <v>0</v>
      </c>
    </row>
    <row r="1327" spans="1:9" ht="18.600000000000001" hidden="1" x14ac:dyDescent="0.25">
      <c r="A1327" s="321" t="s">
        <v>442</v>
      </c>
      <c r="B1327" s="321" t="s">
        <v>115</v>
      </c>
      <c r="C1327" s="318" t="s">
        <v>65</v>
      </c>
      <c r="D1327">
        <v>22125</v>
      </c>
      <c r="E1327" s="143">
        <v>75000</v>
      </c>
      <c r="F1327" s="117">
        <v>1403</v>
      </c>
      <c r="G1327" s="321" t="s">
        <v>302</v>
      </c>
      <c r="H1327" s="144">
        <f>bargiri[[#This Row],[میزان بارگیری شده]]*bargiri[[#This Row],[فی]]</f>
        <v>1659375000</v>
      </c>
      <c r="I1327" s="321">
        <f>IF(year=bargiri[[#This Row],[سال]],1,0)</f>
        <v>0</v>
      </c>
    </row>
    <row r="1328" spans="1:9" ht="18.600000000000001" hidden="1" x14ac:dyDescent="0.25">
      <c r="A1328" s="321" t="s">
        <v>442</v>
      </c>
      <c r="B1328" s="321" t="s">
        <v>116</v>
      </c>
      <c r="C1328" s="318" t="s">
        <v>77</v>
      </c>
      <c r="D1328">
        <v>20045</v>
      </c>
      <c r="E1328" s="143">
        <v>68500</v>
      </c>
      <c r="F1328" s="117">
        <v>1403</v>
      </c>
      <c r="G1328" s="321" t="s">
        <v>302</v>
      </c>
      <c r="H1328" s="144">
        <f>bargiri[[#This Row],[میزان بارگیری شده]]*bargiri[[#This Row],[فی]]</f>
        <v>1373082500</v>
      </c>
      <c r="I1328" s="321">
        <f>IF(year=bargiri[[#This Row],[سال]],1,0)</f>
        <v>0</v>
      </c>
    </row>
    <row r="1329" spans="1:9" ht="18.600000000000001" hidden="1" x14ac:dyDescent="0.25">
      <c r="A1329" s="321" t="s">
        <v>442</v>
      </c>
      <c r="B1329" s="321" t="s">
        <v>106</v>
      </c>
      <c r="C1329" s="318" t="s">
        <v>48</v>
      </c>
      <c r="D1329">
        <v>20160</v>
      </c>
      <c r="E1329" s="143">
        <v>65000</v>
      </c>
      <c r="F1329" s="117">
        <v>1403</v>
      </c>
      <c r="G1329" s="321" t="s">
        <v>302</v>
      </c>
      <c r="H1329" s="144">
        <f>bargiri[[#This Row],[میزان بارگیری شده]]*bargiri[[#This Row],[فی]]</f>
        <v>1310400000</v>
      </c>
      <c r="I1329" s="321">
        <f>IF(year=bargiri[[#This Row],[سال]],1,0)</f>
        <v>0</v>
      </c>
    </row>
    <row r="1330" spans="1:9" ht="18.600000000000001" hidden="1" x14ac:dyDescent="0.25">
      <c r="A1330" s="321" t="s">
        <v>442</v>
      </c>
      <c r="B1330" s="321" t="s">
        <v>98</v>
      </c>
      <c r="C1330" s="318" t="s">
        <v>11</v>
      </c>
      <c r="D1330">
        <v>22275</v>
      </c>
      <c r="E1330" s="143">
        <v>77000</v>
      </c>
      <c r="F1330" s="117">
        <v>1403</v>
      </c>
      <c r="G1330" s="321" t="s">
        <v>302</v>
      </c>
      <c r="H1330" s="144">
        <f>bargiri[[#This Row],[میزان بارگیری شده]]*bargiri[[#This Row],[فی]]</f>
        <v>1715175000</v>
      </c>
      <c r="I1330" s="321">
        <f>IF(year=bargiri[[#This Row],[سال]],1,0)</f>
        <v>0</v>
      </c>
    </row>
    <row r="1331" spans="1:9" ht="18.600000000000001" hidden="1" x14ac:dyDescent="0.25">
      <c r="A1331" s="321" t="s">
        <v>442</v>
      </c>
      <c r="B1331" s="321" t="s">
        <v>99</v>
      </c>
      <c r="C1331" s="318" t="s">
        <v>13</v>
      </c>
      <c r="D1331">
        <v>18530</v>
      </c>
      <c r="E1331" s="143">
        <v>65000</v>
      </c>
      <c r="F1331" s="117">
        <v>1403</v>
      </c>
      <c r="G1331" s="321" t="s">
        <v>302</v>
      </c>
      <c r="H1331" s="144">
        <f>bargiri[[#This Row],[میزان بارگیری شده]]*bargiri[[#This Row],[فی]]</f>
        <v>1204450000</v>
      </c>
      <c r="I1331" s="321">
        <f>IF(year=bargiri[[#This Row],[سال]],1,0)</f>
        <v>0</v>
      </c>
    </row>
    <row r="1332" spans="1:9" ht="18.600000000000001" hidden="1" x14ac:dyDescent="0.25">
      <c r="A1332" s="321" t="s">
        <v>452</v>
      </c>
      <c r="B1332" s="321" t="s">
        <v>101</v>
      </c>
      <c r="C1332" s="318" t="s">
        <v>20</v>
      </c>
      <c r="D1332">
        <v>5970</v>
      </c>
      <c r="E1332" s="143">
        <v>68000</v>
      </c>
      <c r="F1332" s="117">
        <v>1403</v>
      </c>
      <c r="G1332" s="321" t="s">
        <v>303</v>
      </c>
      <c r="H1332" s="144">
        <f>bargiri[[#This Row],[میزان بارگیری شده]]*bargiri[[#This Row],[فی]]</f>
        <v>405960000</v>
      </c>
      <c r="I1332" s="321">
        <f>IF(year=bargiri[[#This Row],[سال]],1,0)</f>
        <v>0</v>
      </c>
    </row>
    <row r="1333" spans="1:9" ht="18.600000000000001" hidden="1" x14ac:dyDescent="0.25">
      <c r="A1333" s="321" t="s">
        <v>453</v>
      </c>
      <c r="B1333" s="321" t="s">
        <v>116</v>
      </c>
      <c r="C1333" s="318" t="s">
        <v>77</v>
      </c>
      <c r="D1333">
        <v>20040</v>
      </c>
      <c r="E1333" s="143">
        <v>68500</v>
      </c>
      <c r="F1333" s="117">
        <v>1403</v>
      </c>
      <c r="G1333" s="321" t="s">
        <v>302</v>
      </c>
      <c r="H1333" s="144">
        <f>bargiri[[#This Row],[میزان بارگیری شده]]*bargiri[[#This Row],[فی]]</f>
        <v>1372740000</v>
      </c>
      <c r="I1333" s="321">
        <f>IF(year=bargiri[[#This Row],[سال]],1,0)</f>
        <v>0</v>
      </c>
    </row>
    <row r="1334" spans="1:9" ht="18.600000000000001" hidden="1" x14ac:dyDescent="0.25">
      <c r="A1334" s="321" t="s">
        <v>453</v>
      </c>
      <c r="B1334" s="321" t="s">
        <v>116</v>
      </c>
      <c r="C1334" s="318" t="s">
        <v>77</v>
      </c>
      <c r="D1334">
        <v>8100</v>
      </c>
      <c r="E1334" s="143">
        <v>68500</v>
      </c>
      <c r="F1334" s="117">
        <v>1403</v>
      </c>
      <c r="G1334" s="321" t="s">
        <v>302</v>
      </c>
      <c r="H1334" s="144">
        <f>bargiri[[#This Row],[میزان بارگیری شده]]*bargiri[[#This Row],[فی]]</f>
        <v>554850000</v>
      </c>
      <c r="I1334" s="321">
        <f>IF(year=bargiri[[#This Row],[سال]],1,0)</f>
        <v>0</v>
      </c>
    </row>
    <row r="1335" spans="1:9" ht="18.600000000000001" hidden="1" x14ac:dyDescent="0.25">
      <c r="A1335" s="321" t="s">
        <v>453</v>
      </c>
      <c r="B1335" s="321" t="s">
        <v>101</v>
      </c>
      <c r="C1335" s="318" t="s">
        <v>20</v>
      </c>
      <c r="D1335">
        <v>20100</v>
      </c>
      <c r="E1335" s="143">
        <v>68000</v>
      </c>
      <c r="F1335" s="117">
        <v>1403</v>
      </c>
      <c r="G1335" s="321" t="s">
        <v>302</v>
      </c>
      <c r="H1335" s="144">
        <f>bargiri[[#This Row],[میزان بارگیری شده]]*bargiri[[#This Row],[فی]]</f>
        <v>1366800000</v>
      </c>
      <c r="I1335" s="321">
        <f>IF(year=bargiri[[#This Row],[سال]],1,0)</f>
        <v>0</v>
      </c>
    </row>
    <row r="1336" spans="1:9" ht="18.600000000000001" hidden="1" x14ac:dyDescent="0.25">
      <c r="A1336" s="321" t="s">
        <v>453</v>
      </c>
      <c r="B1336" s="321" t="s">
        <v>104</v>
      </c>
      <c r="C1336" s="318" t="s">
        <v>41</v>
      </c>
      <c r="D1336">
        <v>18155</v>
      </c>
      <c r="E1336" s="143">
        <v>85000</v>
      </c>
      <c r="F1336" s="117">
        <v>1403</v>
      </c>
      <c r="G1336" s="321" t="s">
        <v>302</v>
      </c>
      <c r="H1336" s="144">
        <f>bargiri[[#This Row],[میزان بارگیری شده]]*bargiri[[#This Row],[فی]]</f>
        <v>1543175000</v>
      </c>
      <c r="I1336" s="321">
        <f>IF(year=bargiri[[#This Row],[سال]],1,0)</f>
        <v>0</v>
      </c>
    </row>
    <row r="1337" spans="1:9" ht="18.600000000000001" hidden="1" x14ac:dyDescent="0.25">
      <c r="A1337" s="321" t="s">
        <v>453</v>
      </c>
      <c r="B1337" s="321" t="s">
        <v>103</v>
      </c>
      <c r="C1337" s="318" t="s">
        <v>30</v>
      </c>
      <c r="D1337">
        <v>7510</v>
      </c>
      <c r="E1337" s="143">
        <v>70000</v>
      </c>
      <c r="F1337" s="117">
        <v>1403</v>
      </c>
      <c r="G1337" s="321" t="s">
        <v>302</v>
      </c>
      <c r="H1337" s="144">
        <f>bargiri[[#This Row],[میزان بارگیری شده]]*bargiri[[#This Row],[فی]]</f>
        <v>525700000</v>
      </c>
      <c r="I1337" s="321">
        <f>IF(year=bargiri[[#This Row],[سال]],1,0)</f>
        <v>0</v>
      </c>
    </row>
    <row r="1338" spans="1:9" ht="18.600000000000001" hidden="1" x14ac:dyDescent="0.25">
      <c r="A1338" s="321" t="s">
        <v>453</v>
      </c>
      <c r="B1338" s="321" t="s">
        <v>115</v>
      </c>
      <c r="C1338" s="318" t="s">
        <v>65</v>
      </c>
      <c r="D1338">
        <v>22095</v>
      </c>
      <c r="E1338" s="143">
        <v>75000</v>
      </c>
      <c r="F1338" s="117">
        <v>1403</v>
      </c>
      <c r="G1338" s="321" t="s">
        <v>302</v>
      </c>
      <c r="H1338" s="144">
        <f>bargiri[[#This Row],[میزان بارگیری شده]]*bargiri[[#This Row],[فی]]</f>
        <v>1657125000</v>
      </c>
      <c r="I1338" s="321">
        <f>IF(year=bargiri[[#This Row],[سال]],1,0)</f>
        <v>0</v>
      </c>
    </row>
    <row r="1339" spans="1:9" ht="18.600000000000001" hidden="1" x14ac:dyDescent="0.25">
      <c r="A1339" s="321" t="s">
        <v>453</v>
      </c>
      <c r="B1339" s="321" t="s">
        <v>106</v>
      </c>
      <c r="C1339" s="318" t="s">
        <v>48</v>
      </c>
      <c r="D1339">
        <v>20245</v>
      </c>
      <c r="E1339" s="143">
        <v>65000</v>
      </c>
      <c r="F1339" s="117">
        <v>1403</v>
      </c>
      <c r="G1339" s="321" t="s">
        <v>302</v>
      </c>
      <c r="H1339" s="144">
        <f>bargiri[[#This Row],[میزان بارگیری شده]]*bargiri[[#This Row],[فی]]</f>
        <v>1315925000</v>
      </c>
      <c r="I1339" s="321">
        <f>IF(year=bargiri[[#This Row],[سال]],1,0)</f>
        <v>0</v>
      </c>
    </row>
    <row r="1340" spans="1:9" ht="18.600000000000001" hidden="1" x14ac:dyDescent="0.25">
      <c r="A1340" s="321" t="s">
        <v>453</v>
      </c>
      <c r="B1340" s="321" t="s">
        <v>117</v>
      </c>
      <c r="C1340" s="318" t="s">
        <v>82</v>
      </c>
      <c r="D1340">
        <v>20115</v>
      </c>
      <c r="E1340" s="143">
        <v>70000</v>
      </c>
      <c r="F1340" s="117">
        <v>1403</v>
      </c>
      <c r="G1340" s="321" t="s">
        <v>302</v>
      </c>
      <c r="H1340" s="144">
        <f>bargiri[[#This Row],[میزان بارگیری شده]]*bargiri[[#This Row],[فی]]</f>
        <v>1408050000</v>
      </c>
      <c r="I1340" s="321">
        <f>IF(year=bargiri[[#This Row],[سال]],1,0)</f>
        <v>0</v>
      </c>
    </row>
    <row r="1341" spans="1:9" ht="18.600000000000001" hidden="1" x14ac:dyDescent="0.25">
      <c r="A1341" s="321" t="s">
        <v>205</v>
      </c>
      <c r="B1341" s="321" t="s">
        <v>106</v>
      </c>
      <c r="C1341" s="318" t="s">
        <v>48</v>
      </c>
      <c r="D1341">
        <v>5050</v>
      </c>
      <c r="E1341" s="143">
        <v>65000</v>
      </c>
      <c r="F1341" s="117">
        <v>1403</v>
      </c>
      <c r="G1341" s="321" t="s">
        <v>302</v>
      </c>
      <c r="H1341" s="144">
        <f>bargiri[[#This Row],[میزان بارگیری شده]]*bargiri[[#This Row],[فی]]</f>
        <v>328250000</v>
      </c>
      <c r="I1341" s="321">
        <f>IF(year=bargiri[[#This Row],[سال]],1,0)</f>
        <v>0</v>
      </c>
    </row>
    <row r="1342" spans="1:9" ht="18.600000000000001" hidden="1" x14ac:dyDescent="0.25">
      <c r="A1342" s="321" t="s">
        <v>454</v>
      </c>
      <c r="B1342" s="321" t="s">
        <v>106</v>
      </c>
      <c r="C1342" s="318" t="s">
        <v>48</v>
      </c>
      <c r="D1342">
        <v>20265</v>
      </c>
      <c r="E1342" s="143">
        <v>65000</v>
      </c>
      <c r="F1342" s="117">
        <v>1403</v>
      </c>
      <c r="G1342" s="321" t="s">
        <v>302</v>
      </c>
      <c r="H1342" s="144">
        <f>bargiri[[#This Row],[میزان بارگیری شده]]*bargiri[[#This Row],[فی]]</f>
        <v>1317225000</v>
      </c>
      <c r="I1342" s="321">
        <f>IF(year=bargiri[[#This Row],[سال]],1,0)</f>
        <v>0</v>
      </c>
    </row>
    <row r="1343" spans="1:9" ht="18.600000000000001" hidden="1" x14ac:dyDescent="0.25">
      <c r="A1343" s="321" t="s">
        <v>455</v>
      </c>
      <c r="B1343" s="321" t="s">
        <v>106</v>
      </c>
      <c r="C1343" s="318" t="s">
        <v>48</v>
      </c>
      <c r="D1343">
        <v>20255</v>
      </c>
      <c r="E1343" s="143">
        <v>65000</v>
      </c>
      <c r="F1343" s="117">
        <v>1403</v>
      </c>
      <c r="G1343" s="321" t="s">
        <v>302</v>
      </c>
      <c r="H1343" s="144">
        <f>bargiri[[#This Row],[میزان بارگیری شده]]*bargiri[[#This Row],[فی]]</f>
        <v>1316575000</v>
      </c>
      <c r="I1343" s="321">
        <f>IF(year=bargiri[[#This Row],[سال]],1,0)</f>
        <v>0</v>
      </c>
    </row>
    <row r="1344" spans="1:9" ht="18.600000000000001" hidden="1" x14ac:dyDescent="0.25">
      <c r="A1344" s="321" t="s">
        <v>456</v>
      </c>
      <c r="B1344" s="321" t="s">
        <v>106</v>
      </c>
      <c r="C1344" s="318" t="s">
        <v>48</v>
      </c>
      <c r="D1344">
        <v>10050</v>
      </c>
      <c r="E1344" s="143">
        <v>65000</v>
      </c>
      <c r="F1344" s="117">
        <v>1403</v>
      </c>
      <c r="G1344" s="321" t="s">
        <v>302</v>
      </c>
      <c r="H1344" s="144">
        <f>bargiri[[#This Row],[میزان بارگیری شده]]*bargiri[[#This Row],[فی]]</f>
        <v>653250000</v>
      </c>
      <c r="I1344" s="321">
        <f>IF(year=bargiri[[#This Row],[سال]],1,0)</f>
        <v>0</v>
      </c>
    </row>
    <row r="1345" spans="1:9" ht="18.600000000000001" hidden="1" x14ac:dyDescent="0.25">
      <c r="A1345" s="321" t="s">
        <v>456</v>
      </c>
      <c r="B1345" s="321" t="s">
        <v>106</v>
      </c>
      <c r="C1345" s="318" t="s">
        <v>48</v>
      </c>
      <c r="D1345">
        <v>19965</v>
      </c>
      <c r="E1345" s="143">
        <v>65000</v>
      </c>
      <c r="F1345" s="117">
        <v>1403</v>
      </c>
      <c r="G1345" s="321" t="s">
        <v>302</v>
      </c>
      <c r="H1345" s="144">
        <f>bargiri[[#This Row],[میزان بارگیری شده]]*bargiri[[#This Row],[فی]]</f>
        <v>1297725000</v>
      </c>
      <c r="I1345" s="321">
        <f>IF(year=bargiri[[#This Row],[سال]],1,0)</f>
        <v>0</v>
      </c>
    </row>
    <row r="1346" spans="1:9" ht="18.600000000000001" hidden="1" x14ac:dyDescent="0.25">
      <c r="A1346" s="321" t="s">
        <v>159</v>
      </c>
      <c r="B1346" s="321" t="s">
        <v>106</v>
      </c>
      <c r="C1346" s="318" t="s">
        <v>48</v>
      </c>
      <c r="D1346">
        <v>20445</v>
      </c>
      <c r="E1346" s="143">
        <v>65000</v>
      </c>
      <c r="F1346" s="117">
        <v>1403</v>
      </c>
      <c r="G1346" s="321" t="s">
        <v>302</v>
      </c>
      <c r="H1346" s="144">
        <f>bargiri[[#This Row],[میزان بارگیری شده]]*bargiri[[#This Row],[فی]]</f>
        <v>1328925000</v>
      </c>
      <c r="I1346" s="321">
        <f>IF(year=bargiri[[#This Row],[سال]],1,0)</f>
        <v>0</v>
      </c>
    </row>
    <row r="1347" spans="1:9" ht="18.600000000000001" hidden="1" x14ac:dyDescent="0.25">
      <c r="A1347" s="321" t="s">
        <v>452</v>
      </c>
      <c r="B1347" s="321" t="s">
        <v>106</v>
      </c>
      <c r="C1347" s="318" t="s">
        <v>48</v>
      </c>
      <c r="D1347">
        <v>5115</v>
      </c>
      <c r="E1347" s="143">
        <v>65000</v>
      </c>
      <c r="F1347" s="117">
        <v>1403</v>
      </c>
      <c r="G1347" s="321" t="s">
        <v>303</v>
      </c>
      <c r="H1347" s="144">
        <f>bargiri[[#This Row],[میزان بارگیری شده]]*bargiri[[#This Row],[فی]]</f>
        <v>332475000</v>
      </c>
      <c r="I1347" s="321">
        <f>IF(year=bargiri[[#This Row],[سال]],1,0)</f>
        <v>0</v>
      </c>
    </row>
    <row r="1348" spans="1:9" ht="18.600000000000001" hidden="1" x14ac:dyDescent="0.25">
      <c r="A1348" s="321" t="s">
        <v>136</v>
      </c>
      <c r="B1348" s="321" t="s">
        <v>106</v>
      </c>
      <c r="C1348" s="318" t="s">
        <v>48</v>
      </c>
      <c r="D1348">
        <v>20050</v>
      </c>
      <c r="E1348" s="143">
        <v>65000</v>
      </c>
      <c r="F1348" s="117">
        <v>1403</v>
      </c>
      <c r="G1348" s="321" t="s">
        <v>303</v>
      </c>
      <c r="H1348" s="144">
        <f>bargiri[[#This Row],[میزان بارگیری شده]]*bargiri[[#This Row],[فی]]</f>
        <v>1303250000</v>
      </c>
      <c r="I1348" s="321">
        <f>IF(year=bargiri[[#This Row],[سال]],1,0)</f>
        <v>0</v>
      </c>
    </row>
    <row r="1349" spans="1:9" ht="18.600000000000001" hidden="1" x14ac:dyDescent="0.25">
      <c r="A1349" s="321" t="s">
        <v>231</v>
      </c>
      <c r="B1349" s="321" t="s">
        <v>106</v>
      </c>
      <c r="C1349" s="318" t="s">
        <v>49</v>
      </c>
      <c r="D1349">
        <v>2490</v>
      </c>
      <c r="E1349" s="143">
        <v>50000</v>
      </c>
      <c r="F1349" s="117">
        <v>1403</v>
      </c>
      <c r="G1349" s="321" t="s">
        <v>303</v>
      </c>
      <c r="H1349" s="144">
        <f>bargiri[[#This Row],[میزان بارگیری شده]]*bargiri[[#This Row],[فی]]</f>
        <v>124500000</v>
      </c>
      <c r="I1349" s="321">
        <f>IF(year=bargiri[[#This Row],[سال]],1,0)</f>
        <v>0</v>
      </c>
    </row>
    <row r="1350" spans="1:9" ht="18.600000000000001" hidden="1" x14ac:dyDescent="0.25">
      <c r="A1350" s="321" t="s">
        <v>231</v>
      </c>
      <c r="B1350" s="321" t="s">
        <v>106</v>
      </c>
      <c r="C1350" s="318" t="s">
        <v>47</v>
      </c>
      <c r="D1350">
        <v>9130</v>
      </c>
      <c r="E1350" s="143">
        <v>50000</v>
      </c>
      <c r="F1350" s="117">
        <v>1403</v>
      </c>
      <c r="G1350" s="321" t="s">
        <v>303</v>
      </c>
      <c r="H1350" s="144">
        <f>bargiri[[#This Row],[میزان بارگیری شده]]*bargiri[[#This Row],[فی]]</f>
        <v>456500000</v>
      </c>
      <c r="I1350" s="321">
        <f>IF(year=bargiri[[#This Row],[سال]],1,0)</f>
        <v>0</v>
      </c>
    </row>
    <row r="1351" spans="1:9" ht="18.600000000000001" hidden="1" x14ac:dyDescent="0.25">
      <c r="A1351" s="321" t="s">
        <v>231</v>
      </c>
      <c r="B1351" s="321" t="s">
        <v>106</v>
      </c>
      <c r="C1351" s="318" t="s">
        <v>48</v>
      </c>
      <c r="D1351">
        <v>8510</v>
      </c>
      <c r="E1351" s="143">
        <v>65000</v>
      </c>
      <c r="F1351" s="117">
        <v>1403</v>
      </c>
      <c r="G1351" s="321" t="s">
        <v>303</v>
      </c>
      <c r="H1351" s="144">
        <f>bargiri[[#This Row],[میزان بارگیری شده]]*bargiri[[#This Row],[فی]]</f>
        <v>553150000</v>
      </c>
      <c r="I1351" s="321">
        <f>IF(year=bargiri[[#This Row],[سال]],1,0)</f>
        <v>0</v>
      </c>
    </row>
    <row r="1352" spans="1:9" ht="18.600000000000001" hidden="1" x14ac:dyDescent="0.25">
      <c r="A1352" s="321" t="s">
        <v>205</v>
      </c>
      <c r="B1352" s="321" t="s">
        <v>116</v>
      </c>
      <c r="C1352" s="318" t="s">
        <v>77</v>
      </c>
      <c r="D1352">
        <v>8215</v>
      </c>
      <c r="E1352" s="143">
        <v>68500</v>
      </c>
      <c r="F1352" s="117">
        <v>1403</v>
      </c>
      <c r="G1352" s="321" t="s">
        <v>302</v>
      </c>
      <c r="H1352" s="144">
        <f>bargiri[[#This Row],[میزان بارگیری شده]]*bargiri[[#This Row],[فی]]</f>
        <v>562727500</v>
      </c>
      <c r="I1352" s="321">
        <f>IF(year=bargiri[[#This Row],[سال]],1,0)</f>
        <v>0</v>
      </c>
    </row>
    <row r="1353" spans="1:9" ht="18.600000000000001" hidden="1" x14ac:dyDescent="0.25">
      <c r="A1353" s="321" t="s">
        <v>205</v>
      </c>
      <c r="B1353" s="321" t="s">
        <v>117</v>
      </c>
      <c r="C1353" s="318" t="s">
        <v>82</v>
      </c>
      <c r="D1353">
        <v>19960</v>
      </c>
      <c r="E1353" s="143">
        <v>70000</v>
      </c>
      <c r="F1353" s="117">
        <v>1403</v>
      </c>
      <c r="G1353" s="321" t="s">
        <v>302</v>
      </c>
      <c r="H1353" s="144">
        <f>bargiri[[#This Row],[میزان بارگیری شده]]*bargiri[[#This Row],[فی]]</f>
        <v>1397200000</v>
      </c>
      <c r="I1353" s="321">
        <f>IF(year=bargiri[[#This Row],[سال]],1,0)</f>
        <v>0</v>
      </c>
    </row>
    <row r="1354" spans="1:9" ht="18.600000000000001" hidden="1" x14ac:dyDescent="0.25">
      <c r="A1354" s="321" t="s">
        <v>205</v>
      </c>
      <c r="B1354" s="321" t="s">
        <v>116</v>
      </c>
      <c r="C1354" s="318" t="s">
        <v>77</v>
      </c>
      <c r="D1354">
        <v>19790</v>
      </c>
      <c r="E1354" s="143">
        <v>68500</v>
      </c>
      <c r="F1354" s="117">
        <v>1403</v>
      </c>
      <c r="G1354" s="321" t="s">
        <v>302</v>
      </c>
      <c r="H1354" s="144">
        <f>bargiri[[#This Row],[میزان بارگیری شده]]*bargiri[[#This Row],[فی]]</f>
        <v>1355615000</v>
      </c>
      <c r="I1354" s="321">
        <f>IF(year=bargiri[[#This Row],[سال]],1,0)</f>
        <v>0</v>
      </c>
    </row>
    <row r="1355" spans="1:9" ht="18.600000000000001" x14ac:dyDescent="0.25">
      <c r="A1355" s="321" t="s">
        <v>205</v>
      </c>
      <c r="B1355" s="321" t="s">
        <v>118</v>
      </c>
      <c r="C1355" s="318" t="s">
        <v>85</v>
      </c>
      <c r="D1355">
        <v>20905</v>
      </c>
      <c r="E1355" s="143">
        <v>56881</v>
      </c>
      <c r="F1355" s="117">
        <v>1403</v>
      </c>
      <c r="G1355" s="321" t="s">
        <v>302</v>
      </c>
      <c r="H1355" s="144">
        <f>bargiri[[#This Row],[میزان بارگیری شده]]*bargiri[[#This Row],[فی]]</f>
        <v>1189097305</v>
      </c>
      <c r="I1355" s="321">
        <f>IF(year=bargiri[[#This Row],[سال]],1,0)</f>
        <v>0</v>
      </c>
    </row>
    <row r="1356" spans="1:9" ht="18.600000000000001" x14ac:dyDescent="0.25">
      <c r="A1356" s="321" t="s">
        <v>205</v>
      </c>
      <c r="B1356" s="321" t="s">
        <v>118</v>
      </c>
      <c r="C1356" s="318" t="s">
        <v>85</v>
      </c>
      <c r="D1356">
        <v>21120</v>
      </c>
      <c r="E1356" s="143">
        <v>56881</v>
      </c>
      <c r="F1356" s="117">
        <v>1403</v>
      </c>
      <c r="G1356" s="321" t="s">
        <v>302</v>
      </c>
      <c r="H1356" s="144">
        <f>bargiri[[#This Row],[میزان بارگیری شده]]*bargiri[[#This Row],[فی]]</f>
        <v>1201326720</v>
      </c>
      <c r="I1356" s="321">
        <f>IF(year=bargiri[[#This Row],[سال]],1,0)</f>
        <v>0</v>
      </c>
    </row>
    <row r="1357" spans="1:9" ht="18.600000000000001" x14ac:dyDescent="0.25">
      <c r="A1357" s="321" t="s">
        <v>205</v>
      </c>
      <c r="B1357" s="321" t="s">
        <v>118</v>
      </c>
      <c r="C1357" s="318" t="s">
        <v>85</v>
      </c>
      <c r="D1357">
        <v>21065</v>
      </c>
      <c r="E1357" s="143">
        <v>56881</v>
      </c>
      <c r="F1357" s="117">
        <v>1403</v>
      </c>
      <c r="G1357" s="321" t="s">
        <v>302</v>
      </c>
      <c r="H1357" s="144">
        <f>bargiri[[#This Row],[میزان بارگیری شده]]*bargiri[[#This Row],[فی]]</f>
        <v>1198198265</v>
      </c>
      <c r="I1357" s="321">
        <f>IF(year=bargiri[[#This Row],[سال]],1,0)</f>
        <v>0</v>
      </c>
    </row>
    <row r="1358" spans="1:9" ht="18.600000000000001" x14ac:dyDescent="0.25">
      <c r="A1358" s="321" t="s">
        <v>454</v>
      </c>
      <c r="B1358" s="321" t="s">
        <v>118</v>
      </c>
      <c r="C1358" s="318" t="s">
        <v>85</v>
      </c>
      <c r="D1358">
        <v>21135</v>
      </c>
      <c r="E1358" s="143">
        <v>56881</v>
      </c>
      <c r="F1358" s="117">
        <v>1403</v>
      </c>
      <c r="G1358" s="321" t="s">
        <v>302</v>
      </c>
      <c r="H1358" s="144">
        <f>bargiri[[#This Row],[میزان بارگیری شده]]*bargiri[[#This Row],[فی]]</f>
        <v>1202179935</v>
      </c>
      <c r="I1358" s="321">
        <f>IF(year=bargiri[[#This Row],[سال]],1,0)</f>
        <v>0</v>
      </c>
    </row>
    <row r="1359" spans="1:9" ht="18.600000000000001" x14ac:dyDescent="0.25">
      <c r="A1359" s="321" t="s">
        <v>454</v>
      </c>
      <c r="B1359" s="321" t="s">
        <v>118</v>
      </c>
      <c r="C1359" s="318" t="s">
        <v>85</v>
      </c>
      <c r="D1359">
        <v>21165</v>
      </c>
      <c r="E1359" s="143">
        <v>56881</v>
      </c>
      <c r="F1359" s="117">
        <v>1403</v>
      </c>
      <c r="G1359" s="321" t="s">
        <v>302</v>
      </c>
      <c r="H1359" s="144">
        <f>bargiri[[#This Row],[میزان بارگیری شده]]*bargiri[[#This Row],[فی]]</f>
        <v>1203886365</v>
      </c>
      <c r="I1359" s="321">
        <f>IF(year=bargiri[[#This Row],[سال]],1,0)</f>
        <v>0</v>
      </c>
    </row>
    <row r="1360" spans="1:9" ht="18.600000000000001" hidden="1" x14ac:dyDescent="0.25">
      <c r="A1360" s="321" t="s">
        <v>454</v>
      </c>
      <c r="B1360" s="321" t="s">
        <v>101</v>
      </c>
      <c r="C1360" s="318" t="s">
        <v>20</v>
      </c>
      <c r="D1360">
        <v>5885</v>
      </c>
      <c r="E1360" s="143">
        <v>68000</v>
      </c>
      <c r="F1360" s="117">
        <v>1403</v>
      </c>
      <c r="G1360" s="321" t="s">
        <v>302</v>
      </c>
      <c r="H1360" s="144">
        <f>bargiri[[#This Row],[میزان بارگیری شده]]*bargiri[[#This Row],[فی]]</f>
        <v>400180000</v>
      </c>
      <c r="I1360" s="321">
        <f>IF(year=bargiri[[#This Row],[سال]],1,0)</f>
        <v>0</v>
      </c>
    </row>
    <row r="1361" spans="1:9" ht="18.600000000000001" hidden="1" x14ac:dyDescent="0.25">
      <c r="A1361" s="321" t="s">
        <v>454</v>
      </c>
      <c r="B1361" s="321" t="s">
        <v>102</v>
      </c>
      <c r="C1361" s="318" t="s">
        <v>26</v>
      </c>
      <c r="D1361">
        <v>11115</v>
      </c>
      <c r="E1361" s="143">
        <v>70000</v>
      </c>
      <c r="F1361" s="117">
        <v>1403</v>
      </c>
      <c r="G1361" s="321" t="s">
        <v>302</v>
      </c>
      <c r="H1361" s="144">
        <f>bargiri[[#This Row],[میزان بارگیری شده]]*bargiri[[#This Row],[فی]]</f>
        <v>778050000</v>
      </c>
      <c r="I1361" s="321">
        <f>IF(year=bargiri[[#This Row],[سال]],1,0)</f>
        <v>0</v>
      </c>
    </row>
    <row r="1362" spans="1:9" ht="18.600000000000001" hidden="1" x14ac:dyDescent="0.25">
      <c r="A1362" s="321" t="s">
        <v>454</v>
      </c>
      <c r="B1362" s="321" t="s">
        <v>116</v>
      </c>
      <c r="C1362" s="318" t="s">
        <v>77</v>
      </c>
      <c r="D1362">
        <v>19680</v>
      </c>
      <c r="E1362" s="143">
        <v>68500</v>
      </c>
      <c r="F1362" s="117">
        <v>1403</v>
      </c>
      <c r="G1362" s="321" t="s">
        <v>302</v>
      </c>
      <c r="H1362" s="144">
        <f>bargiri[[#This Row],[میزان بارگیری شده]]*bargiri[[#This Row],[فی]]</f>
        <v>1348080000</v>
      </c>
      <c r="I1362" s="321">
        <f>IF(year=bargiri[[#This Row],[سال]],1,0)</f>
        <v>0</v>
      </c>
    </row>
    <row r="1363" spans="1:9" ht="18.600000000000001" hidden="1" x14ac:dyDescent="0.25">
      <c r="A1363" s="321" t="s">
        <v>454</v>
      </c>
      <c r="B1363" s="321" t="s">
        <v>110</v>
      </c>
      <c r="C1363" s="318" t="s">
        <v>57</v>
      </c>
      <c r="D1363">
        <v>18145</v>
      </c>
      <c r="E1363" s="143">
        <v>78000</v>
      </c>
      <c r="F1363" s="117">
        <v>1403</v>
      </c>
      <c r="G1363" s="321" t="s">
        <v>302</v>
      </c>
      <c r="H1363" s="144">
        <f>bargiri[[#This Row],[میزان بارگیری شده]]*bargiri[[#This Row],[فی]]</f>
        <v>1415310000</v>
      </c>
      <c r="I1363" s="321">
        <f>IF(year=bargiri[[#This Row],[سال]],1,0)</f>
        <v>0</v>
      </c>
    </row>
    <row r="1364" spans="1:9" ht="18.600000000000001" hidden="1" x14ac:dyDescent="0.25">
      <c r="A1364" s="321" t="s">
        <v>454</v>
      </c>
      <c r="B1364" s="321" t="s">
        <v>104</v>
      </c>
      <c r="C1364" s="318" t="s">
        <v>41</v>
      </c>
      <c r="D1364">
        <v>17950</v>
      </c>
      <c r="E1364" s="143">
        <v>85000</v>
      </c>
      <c r="F1364" s="117">
        <v>1403</v>
      </c>
      <c r="G1364" s="321" t="s">
        <v>302</v>
      </c>
      <c r="H1364" s="144">
        <f>bargiri[[#This Row],[میزان بارگیری شده]]*bargiri[[#This Row],[فی]]</f>
        <v>1525750000</v>
      </c>
      <c r="I1364" s="321">
        <f>IF(year=bargiri[[#This Row],[سال]],1,0)</f>
        <v>0</v>
      </c>
    </row>
    <row r="1365" spans="1:9" ht="18.600000000000001" hidden="1" x14ac:dyDescent="0.25">
      <c r="A1365" s="321" t="s">
        <v>454</v>
      </c>
      <c r="B1365" s="321" t="s">
        <v>98</v>
      </c>
      <c r="C1365" s="318" t="s">
        <v>11</v>
      </c>
      <c r="D1365">
        <v>22155</v>
      </c>
      <c r="E1365" s="143">
        <v>77000</v>
      </c>
      <c r="F1365" s="117">
        <v>1403</v>
      </c>
      <c r="G1365" s="321" t="s">
        <v>302</v>
      </c>
      <c r="H1365" s="144">
        <f>bargiri[[#This Row],[میزان بارگیری شده]]*bargiri[[#This Row],[فی]]</f>
        <v>1705935000</v>
      </c>
      <c r="I1365" s="321">
        <f>IF(year=bargiri[[#This Row],[سال]],1,0)</f>
        <v>0</v>
      </c>
    </row>
    <row r="1366" spans="1:9" ht="18.600000000000001" hidden="1" x14ac:dyDescent="0.25">
      <c r="A1366" s="321" t="s">
        <v>454</v>
      </c>
      <c r="B1366" s="321" t="s">
        <v>99</v>
      </c>
      <c r="C1366" s="318" t="s">
        <v>13</v>
      </c>
      <c r="D1366">
        <v>18100</v>
      </c>
      <c r="E1366" s="143">
        <v>65000</v>
      </c>
      <c r="F1366" s="117">
        <v>1403</v>
      </c>
      <c r="G1366" s="321" t="s">
        <v>302</v>
      </c>
      <c r="H1366" s="144">
        <f>bargiri[[#This Row],[میزان بارگیری شده]]*bargiri[[#This Row],[فی]]</f>
        <v>1176500000</v>
      </c>
      <c r="I1366" s="321">
        <f>IF(year=bargiri[[#This Row],[سال]],1,0)</f>
        <v>0</v>
      </c>
    </row>
    <row r="1367" spans="1:9" ht="18.600000000000001" hidden="1" x14ac:dyDescent="0.25">
      <c r="A1367" s="321" t="s">
        <v>455</v>
      </c>
      <c r="B1367" s="321" t="s">
        <v>99</v>
      </c>
      <c r="C1367" s="318" t="s">
        <v>13</v>
      </c>
      <c r="D1367">
        <v>18150</v>
      </c>
      <c r="E1367" s="143">
        <v>65000</v>
      </c>
      <c r="F1367" s="117">
        <v>1403</v>
      </c>
      <c r="G1367" s="321" t="s">
        <v>302</v>
      </c>
      <c r="H1367" s="144">
        <f>bargiri[[#This Row],[میزان بارگیری شده]]*bargiri[[#This Row],[فی]]</f>
        <v>1179750000</v>
      </c>
      <c r="I1367" s="321">
        <f>IF(year=bargiri[[#This Row],[سال]],1,0)</f>
        <v>0</v>
      </c>
    </row>
    <row r="1368" spans="1:9" ht="18.600000000000001" hidden="1" x14ac:dyDescent="0.25">
      <c r="A1368" s="321" t="s">
        <v>455</v>
      </c>
      <c r="B1368" s="321" t="s">
        <v>116</v>
      </c>
      <c r="C1368" s="318" t="s">
        <v>77</v>
      </c>
      <c r="D1368">
        <v>8180</v>
      </c>
      <c r="E1368" s="143">
        <v>68500</v>
      </c>
      <c r="F1368" s="117">
        <v>1403</v>
      </c>
      <c r="G1368" s="321" t="s">
        <v>302</v>
      </c>
      <c r="H1368" s="144">
        <f>bargiri[[#This Row],[میزان بارگیری شده]]*bargiri[[#This Row],[فی]]</f>
        <v>560330000</v>
      </c>
      <c r="I1368" s="321">
        <f>IF(year=bargiri[[#This Row],[سال]],1,0)</f>
        <v>0</v>
      </c>
    </row>
    <row r="1369" spans="1:9" ht="18.600000000000001" hidden="1" x14ac:dyDescent="0.25">
      <c r="A1369" s="321" t="s">
        <v>455</v>
      </c>
      <c r="B1369" s="321" t="s">
        <v>116</v>
      </c>
      <c r="C1369" s="318" t="s">
        <v>77</v>
      </c>
      <c r="D1369">
        <v>20080</v>
      </c>
      <c r="E1369" s="143">
        <v>68500</v>
      </c>
      <c r="F1369" s="117">
        <v>1403</v>
      </c>
      <c r="G1369" s="321" t="s">
        <v>302</v>
      </c>
      <c r="H1369" s="144">
        <f>bargiri[[#This Row],[میزان بارگیری شده]]*bargiri[[#This Row],[فی]]</f>
        <v>1375480000</v>
      </c>
      <c r="I1369" s="321">
        <f>IF(year=bargiri[[#This Row],[سال]],1,0)</f>
        <v>0</v>
      </c>
    </row>
    <row r="1370" spans="1:9" ht="18.600000000000001" hidden="1" x14ac:dyDescent="0.25">
      <c r="A1370" s="321" t="s">
        <v>455</v>
      </c>
      <c r="B1370" s="321" t="s">
        <v>115</v>
      </c>
      <c r="C1370" s="318" t="s">
        <v>65</v>
      </c>
      <c r="D1370">
        <v>19955</v>
      </c>
      <c r="E1370" s="143">
        <v>75000</v>
      </c>
      <c r="F1370" s="117">
        <v>1403</v>
      </c>
      <c r="G1370" s="321" t="s">
        <v>302</v>
      </c>
      <c r="H1370" s="144">
        <f>bargiri[[#This Row],[میزان بارگیری شده]]*bargiri[[#This Row],[فی]]</f>
        <v>1496625000</v>
      </c>
      <c r="I1370" s="321">
        <f>IF(year=bargiri[[#This Row],[سال]],1,0)</f>
        <v>0</v>
      </c>
    </row>
    <row r="1371" spans="1:9" ht="18.600000000000001" hidden="1" x14ac:dyDescent="0.25">
      <c r="A1371" s="321" t="s">
        <v>455</v>
      </c>
      <c r="B1371" s="321" t="s">
        <v>117</v>
      </c>
      <c r="C1371" s="318" t="s">
        <v>82</v>
      </c>
      <c r="D1371">
        <v>19635</v>
      </c>
      <c r="E1371" s="143">
        <v>70000</v>
      </c>
      <c r="F1371" s="117">
        <v>1403</v>
      </c>
      <c r="G1371" s="321" t="s">
        <v>302</v>
      </c>
      <c r="H1371" s="144">
        <f>bargiri[[#This Row],[میزان بارگیری شده]]*bargiri[[#This Row],[فی]]</f>
        <v>1374450000</v>
      </c>
      <c r="I1371" s="321">
        <f>IF(year=bargiri[[#This Row],[سال]],1,0)</f>
        <v>0</v>
      </c>
    </row>
    <row r="1372" spans="1:9" ht="18.600000000000001" hidden="1" x14ac:dyDescent="0.25">
      <c r="A1372" s="321" t="s">
        <v>455</v>
      </c>
      <c r="B1372" s="321" t="s">
        <v>101</v>
      </c>
      <c r="C1372" s="318" t="s">
        <v>20</v>
      </c>
      <c r="D1372">
        <v>20105</v>
      </c>
      <c r="E1372" s="143">
        <v>68000</v>
      </c>
      <c r="F1372" s="117">
        <v>1403</v>
      </c>
      <c r="G1372" s="321" t="s">
        <v>302</v>
      </c>
      <c r="H1372" s="144">
        <f>bargiri[[#This Row],[میزان بارگیری شده]]*bargiri[[#This Row],[فی]]</f>
        <v>1367140000</v>
      </c>
      <c r="I1372" s="321">
        <f>IF(year=bargiri[[#This Row],[سال]],1,0)</f>
        <v>0</v>
      </c>
    </row>
    <row r="1373" spans="1:9" ht="18.600000000000001" hidden="1" x14ac:dyDescent="0.25">
      <c r="A1373" s="321" t="s">
        <v>455</v>
      </c>
      <c r="B1373" s="321" t="s">
        <v>103</v>
      </c>
      <c r="C1373" s="318" t="s">
        <v>30</v>
      </c>
      <c r="D1373">
        <v>7565</v>
      </c>
      <c r="E1373" s="143">
        <v>70000</v>
      </c>
      <c r="F1373" s="117">
        <v>1403</v>
      </c>
      <c r="G1373" s="321" t="s">
        <v>302</v>
      </c>
      <c r="H1373" s="144">
        <f>bargiri[[#This Row],[میزان بارگیری شده]]*bargiri[[#This Row],[فی]]</f>
        <v>529550000</v>
      </c>
      <c r="I1373" s="321">
        <f>IF(year=bargiri[[#This Row],[سال]],1,0)</f>
        <v>0</v>
      </c>
    </row>
    <row r="1374" spans="1:9" ht="18.600000000000001" hidden="1" x14ac:dyDescent="0.25">
      <c r="A1374" s="321" t="s">
        <v>457</v>
      </c>
      <c r="B1374" s="321" t="s">
        <v>116</v>
      </c>
      <c r="C1374" s="318" t="s">
        <v>77</v>
      </c>
      <c r="D1374">
        <v>8030</v>
      </c>
      <c r="E1374" s="143">
        <v>68500</v>
      </c>
      <c r="F1374" s="117">
        <v>1403</v>
      </c>
      <c r="G1374" s="321" t="s">
        <v>302</v>
      </c>
      <c r="H1374" s="144">
        <f>bargiri[[#This Row],[میزان بارگیری شده]]*bargiri[[#This Row],[فی]]</f>
        <v>550055000</v>
      </c>
      <c r="I1374" s="321">
        <f>IF(year=bargiri[[#This Row],[سال]],1,0)</f>
        <v>0</v>
      </c>
    </row>
    <row r="1375" spans="1:9" ht="18.600000000000001" hidden="1" x14ac:dyDescent="0.25">
      <c r="A1375" s="321" t="s">
        <v>457</v>
      </c>
      <c r="B1375" s="321" t="s">
        <v>117</v>
      </c>
      <c r="C1375" s="318" t="s">
        <v>82</v>
      </c>
      <c r="D1375">
        <v>5930</v>
      </c>
      <c r="E1375" s="143">
        <v>70000</v>
      </c>
      <c r="F1375" s="117">
        <v>1403</v>
      </c>
      <c r="G1375" s="321" t="s">
        <v>302</v>
      </c>
      <c r="H1375" s="144">
        <f>bargiri[[#This Row],[میزان بارگیری شده]]*bargiri[[#This Row],[فی]]</f>
        <v>415100000</v>
      </c>
      <c r="I1375" s="321">
        <f>IF(year=bargiri[[#This Row],[سال]],1,0)</f>
        <v>0</v>
      </c>
    </row>
    <row r="1376" spans="1:9" ht="18.600000000000001" hidden="1" x14ac:dyDescent="0.25">
      <c r="A1376" s="321" t="s">
        <v>457</v>
      </c>
      <c r="B1376" s="321" t="s">
        <v>102</v>
      </c>
      <c r="C1376" s="318" t="s">
        <v>26</v>
      </c>
      <c r="D1376">
        <v>10045</v>
      </c>
      <c r="E1376" s="143">
        <v>70000</v>
      </c>
      <c r="F1376" s="117">
        <v>1403</v>
      </c>
      <c r="G1376" s="321" t="s">
        <v>302</v>
      </c>
      <c r="H1376" s="144">
        <f>bargiri[[#This Row],[میزان بارگیری شده]]*bargiri[[#This Row],[فی]]</f>
        <v>703150000</v>
      </c>
      <c r="I1376" s="321">
        <f>IF(year=bargiri[[#This Row],[سال]],1,0)</f>
        <v>0</v>
      </c>
    </row>
    <row r="1377" spans="1:9" ht="18.600000000000001" hidden="1" x14ac:dyDescent="0.25">
      <c r="A1377" s="321" t="s">
        <v>457</v>
      </c>
      <c r="B1377" s="321" t="s">
        <v>116</v>
      </c>
      <c r="C1377" s="318" t="s">
        <v>77</v>
      </c>
      <c r="D1377">
        <v>20015</v>
      </c>
      <c r="E1377" s="143">
        <v>68500</v>
      </c>
      <c r="F1377" s="117">
        <v>1403</v>
      </c>
      <c r="G1377" s="321" t="s">
        <v>302</v>
      </c>
      <c r="H1377" s="144">
        <f>bargiri[[#This Row],[میزان بارگیری شده]]*bargiri[[#This Row],[فی]]</f>
        <v>1371027500</v>
      </c>
      <c r="I1377" s="321">
        <f>IF(year=bargiri[[#This Row],[سال]],1,0)</f>
        <v>0</v>
      </c>
    </row>
    <row r="1378" spans="1:9" ht="18.600000000000001" hidden="1" x14ac:dyDescent="0.25">
      <c r="A1378" s="321" t="s">
        <v>457</v>
      </c>
      <c r="B1378" s="321" t="s">
        <v>115</v>
      </c>
      <c r="C1378" s="318" t="s">
        <v>65</v>
      </c>
      <c r="D1378">
        <v>19955</v>
      </c>
      <c r="E1378" s="143">
        <v>75000</v>
      </c>
      <c r="F1378" s="117">
        <v>1403</v>
      </c>
      <c r="G1378" s="321" t="s">
        <v>302</v>
      </c>
      <c r="H1378" s="144">
        <f>bargiri[[#This Row],[میزان بارگیری شده]]*bargiri[[#This Row],[فی]]</f>
        <v>1496625000</v>
      </c>
      <c r="I1378" s="321">
        <f>IF(year=bargiri[[#This Row],[سال]],1,0)</f>
        <v>0</v>
      </c>
    </row>
    <row r="1379" spans="1:9" ht="18.600000000000001" hidden="1" x14ac:dyDescent="0.25">
      <c r="A1379" s="321" t="s">
        <v>457</v>
      </c>
      <c r="B1379" s="321" t="s">
        <v>104</v>
      </c>
      <c r="C1379" s="318" t="s">
        <v>41</v>
      </c>
      <c r="D1379">
        <v>17550</v>
      </c>
      <c r="E1379" s="143">
        <v>85000</v>
      </c>
      <c r="F1379" s="117">
        <v>1403</v>
      </c>
      <c r="G1379" s="321" t="s">
        <v>302</v>
      </c>
      <c r="H1379" s="144">
        <f>bargiri[[#This Row],[میزان بارگیری شده]]*bargiri[[#This Row],[فی]]</f>
        <v>1491750000</v>
      </c>
      <c r="I1379" s="321">
        <f>IF(year=bargiri[[#This Row],[سال]],1,0)</f>
        <v>0</v>
      </c>
    </row>
    <row r="1380" spans="1:9" ht="18.600000000000001" x14ac:dyDescent="0.25">
      <c r="A1380" s="321" t="s">
        <v>457</v>
      </c>
      <c r="B1380" s="321" t="s">
        <v>118</v>
      </c>
      <c r="C1380" s="318" t="s">
        <v>85</v>
      </c>
      <c r="D1380">
        <v>19955</v>
      </c>
      <c r="E1380" s="143">
        <v>56881</v>
      </c>
      <c r="F1380" s="117">
        <v>1403</v>
      </c>
      <c r="G1380" s="321" t="s">
        <v>302</v>
      </c>
      <c r="H1380" s="144">
        <f>bargiri[[#This Row],[میزان بارگیری شده]]*bargiri[[#This Row],[فی]]</f>
        <v>1135060355</v>
      </c>
      <c r="I1380" s="321">
        <f>IF(year=bargiri[[#This Row],[سال]],1,0)</f>
        <v>0</v>
      </c>
    </row>
    <row r="1381" spans="1:9" ht="18.600000000000001" x14ac:dyDescent="0.25">
      <c r="A1381" s="321" t="s">
        <v>457</v>
      </c>
      <c r="B1381" s="321" t="s">
        <v>118</v>
      </c>
      <c r="C1381" s="318" t="s">
        <v>85</v>
      </c>
      <c r="D1381">
        <v>20165</v>
      </c>
      <c r="E1381" s="143">
        <v>56881</v>
      </c>
      <c r="F1381" s="117">
        <v>1403</v>
      </c>
      <c r="G1381" s="321" t="s">
        <v>302</v>
      </c>
      <c r="H1381" s="144">
        <f>bargiri[[#This Row],[میزان بارگیری شده]]*bargiri[[#This Row],[فی]]</f>
        <v>1147005365</v>
      </c>
      <c r="I1381" s="321">
        <f>IF(year=bargiri[[#This Row],[سال]],1,0)</f>
        <v>0</v>
      </c>
    </row>
    <row r="1382" spans="1:9" ht="18.600000000000001" x14ac:dyDescent="0.25">
      <c r="A1382" s="321" t="s">
        <v>457</v>
      </c>
      <c r="B1382" s="321" t="s">
        <v>118</v>
      </c>
      <c r="C1382" s="318" t="s">
        <v>85</v>
      </c>
      <c r="D1382">
        <v>20050</v>
      </c>
      <c r="E1382" s="143">
        <v>56881</v>
      </c>
      <c r="F1382" s="117">
        <v>1403</v>
      </c>
      <c r="G1382" s="321" t="s">
        <v>302</v>
      </c>
      <c r="H1382" s="144">
        <f>bargiri[[#This Row],[میزان بارگیری شده]]*bargiri[[#This Row],[فی]]</f>
        <v>1140464050</v>
      </c>
      <c r="I1382" s="321">
        <f>IF(year=bargiri[[#This Row],[سال]],1,0)</f>
        <v>0</v>
      </c>
    </row>
    <row r="1383" spans="1:9" ht="18.600000000000001" hidden="1" x14ac:dyDescent="0.25">
      <c r="A1383" s="321" t="s">
        <v>457</v>
      </c>
      <c r="B1383" s="321" t="s">
        <v>124</v>
      </c>
      <c r="C1383" s="318" t="s">
        <v>94</v>
      </c>
      <c r="D1383">
        <v>20335</v>
      </c>
      <c r="E1383" s="143">
        <v>70000</v>
      </c>
      <c r="F1383" s="117">
        <v>1403</v>
      </c>
      <c r="G1383" s="321" t="s">
        <v>302</v>
      </c>
      <c r="H1383" s="144">
        <f>bargiri[[#This Row],[میزان بارگیری شده]]*bargiri[[#This Row],[فی]]</f>
        <v>1423450000</v>
      </c>
      <c r="I1383" s="321">
        <f>IF(year=bargiri[[#This Row],[سال]],1,0)</f>
        <v>0</v>
      </c>
    </row>
    <row r="1384" spans="1:9" ht="18.600000000000001" x14ac:dyDescent="0.25">
      <c r="A1384" s="321" t="s">
        <v>458</v>
      </c>
      <c r="B1384" s="321" t="s">
        <v>118</v>
      </c>
      <c r="C1384" s="318" t="s">
        <v>85</v>
      </c>
      <c r="D1384">
        <v>20095</v>
      </c>
      <c r="E1384" s="143">
        <v>56881</v>
      </c>
      <c r="F1384" s="117">
        <v>1403</v>
      </c>
      <c r="G1384" s="321" t="s">
        <v>302</v>
      </c>
      <c r="H1384" s="144">
        <f>bargiri[[#This Row],[میزان بارگیری شده]]*bargiri[[#This Row],[فی]]</f>
        <v>1143023695</v>
      </c>
      <c r="I1384" s="321">
        <f>IF(year=bargiri[[#This Row],[سال]],1,0)</f>
        <v>0</v>
      </c>
    </row>
    <row r="1385" spans="1:9" ht="18.600000000000001" x14ac:dyDescent="0.25">
      <c r="A1385" s="321" t="s">
        <v>458</v>
      </c>
      <c r="B1385" s="321" t="s">
        <v>118</v>
      </c>
      <c r="C1385" s="318" t="s">
        <v>85</v>
      </c>
      <c r="D1385">
        <v>20165</v>
      </c>
      <c r="E1385" s="143">
        <v>56881</v>
      </c>
      <c r="F1385" s="117">
        <v>1403</v>
      </c>
      <c r="G1385" s="321" t="s">
        <v>302</v>
      </c>
      <c r="H1385" s="144">
        <f>bargiri[[#This Row],[میزان بارگیری شده]]*bargiri[[#This Row],[فی]]</f>
        <v>1147005365</v>
      </c>
      <c r="I1385" s="321">
        <f>IF(year=bargiri[[#This Row],[سال]],1,0)</f>
        <v>0</v>
      </c>
    </row>
    <row r="1386" spans="1:9" ht="18.600000000000001" x14ac:dyDescent="0.25">
      <c r="A1386" s="321" t="s">
        <v>458</v>
      </c>
      <c r="B1386" s="321" t="s">
        <v>118</v>
      </c>
      <c r="C1386" s="318" t="s">
        <v>85</v>
      </c>
      <c r="D1386">
        <v>19985</v>
      </c>
      <c r="E1386" s="143">
        <v>56881</v>
      </c>
      <c r="F1386" s="117">
        <v>1403</v>
      </c>
      <c r="G1386" s="321" t="s">
        <v>302</v>
      </c>
      <c r="H1386" s="144">
        <f>bargiri[[#This Row],[میزان بارگیری شده]]*bargiri[[#This Row],[فی]]</f>
        <v>1136766785</v>
      </c>
      <c r="I1386" s="321">
        <f>IF(year=bargiri[[#This Row],[سال]],1,0)</f>
        <v>0</v>
      </c>
    </row>
    <row r="1387" spans="1:9" ht="18.600000000000001" hidden="1" x14ac:dyDescent="0.25">
      <c r="A1387" s="321" t="s">
        <v>458</v>
      </c>
      <c r="B1387" s="321" t="s">
        <v>99</v>
      </c>
      <c r="C1387" s="318" t="s">
        <v>13</v>
      </c>
      <c r="D1387">
        <v>14645</v>
      </c>
      <c r="E1387" s="143">
        <v>65000</v>
      </c>
      <c r="F1387" s="117">
        <v>1403</v>
      </c>
      <c r="G1387" s="321" t="s">
        <v>302</v>
      </c>
      <c r="H1387" s="144">
        <f>bargiri[[#This Row],[میزان بارگیری شده]]*bargiri[[#This Row],[فی]]</f>
        <v>951925000</v>
      </c>
      <c r="I1387" s="321">
        <f>IF(year=bargiri[[#This Row],[سال]],1,0)</f>
        <v>0</v>
      </c>
    </row>
    <row r="1388" spans="1:9" ht="18.600000000000001" hidden="1" x14ac:dyDescent="0.25">
      <c r="A1388" s="321" t="s">
        <v>458</v>
      </c>
      <c r="B1388" s="321" t="s">
        <v>110</v>
      </c>
      <c r="C1388" s="318" t="s">
        <v>57</v>
      </c>
      <c r="D1388">
        <v>20235</v>
      </c>
      <c r="E1388" s="143">
        <v>78000</v>
      </c>
      <c r="F1388" s="117">
        <v>1403</v>
      </c>
      <c r="G1388" s="321" t="s">
        <v>302</v>
      </c>
      <c r="H1388" s="144">
        <f>bargiri[[#This Row],[میزان بارگیری شده]]*bargiri[[#This Row],[فی]]</f>
        <v>1578330000</v>
      </c>
      <c r="I1388" s="321">
        <f>IF(year=bargiri[[#This Row],[سال]],1,0)</f>
        <v>0</v>
      </c>
    </row>
    <row r="1389" spans="1:9" ht="18.600000000000001" hidden="1" x14ac:dyDescent="0.25">
      <c r="A1389" s="321" t="s">
        <v>458</v>
      </c>
      <c r="B1389" s="321" t="s">
        <v>102</v>
      </c>
      <c r="C1389" s="318" t="s">
        <v>26</v>
      </c>
      <c r="D1389">
        <v>9825</v>
      </c>
      <c r="E1389" s="143">
        <v>70000</v>
      </c>
      <c r="F1389" s="117">
        <v>1403</v>
      </c>
      <c r="G1389" s="321" t="s">
        <v>302</v>
      </c>
      <c r="H1389" s="144">
        <f>bargiri[[#This Row],[میزان بارگیری شده]]*bargiri[[#This Row],[فی]]</f>
        <v>687750000</v>
      </c>
      <c r="I1389" s="321">
        <f>IF(year=bargiri[[#This Row],[سال]],1,0)</f>
        <v>0</v>
      </c>
    </row>
    <row r="1390" spans="1:9" ht="18.600000000000001" hidden="1" x14ac:dyDescent="0.25">
      <c r="A1390" s="321" t="s">
        <v>458</v>
      </c>
      <c r="B1390" s="321" t="s">
        <v>116</v>
      </c>
      <c r="C1390" s="318" t="s">
        <v>77</v>
      </c>
      <c r="D1390">
        <v>20565</v>
      </c>
      <c r="E1390" s="143">
        <v>68500</v>
      </c>
      <c r="F1390" s="117">
        <v>1403</v>
      </c>
      <c r="G1390" s="321" t="s">
        <v>302</v>
      </c>
      <c r="H1390" s="144">
        <f>bargiri[[#This Row],[میزان بارگیری شده]]*bargiri[[#This Row],[فی]]</f>
        <v>1408702500</v>
      </c>
      <c r="I1390" s="321">
        <f>IF(year=bargiri[[#This Row],[سال]],1,0)</f>
        <v>0</v>
      </c>
    </row>
    <row r="1391" spans="1:9" ht="18.600000000000001" hidden="1" x14ac:dyDescent="0.25">
      <c r="A1391" s="321" t="s">
        <v>458</v>
      </c>
      <c r="B1391" s="321" t="s">
        <v>99</v>
      </c>
      <c r="C1391" s="318" t="s">
        <v>13</v>
      </c>
      <c r="D1391">
        <v>17840</v>
      </c>
      <c r="E1391" s="143">
        <v>65000</v>
      </c>
      <c r="F1391" s="117">
        <v>1403</v>
      </c>
      <c r="G1391" s="321" t="s">
        <v>302</v>
      </c>
      <c r="H1391" s="144">
        <f>bargiri[[#This Row],[میزان بارگیری شده]]*bargiri[[#This Row],[فی]]</f>
        <v>1159600000</v>
      </c>
      <c r="I1391" s="321">
        <f>IF(year=bargiri[[#This Row],[سال]],1,0)</f>
        <v>0</v>
      </c>
    </row>
    <row r="1392" spans="1:9" ht="18.600000000000001" hidden="1" x14ac:dyDescent="0.25">
      <c r="A1392" s="321" t="s">
        <v>456</v>
      </c>
      <c r="B1392" s="321" t="s">
        <v>116</v>
      </c>
      <c r="C1392" s="318" t="s">
        <v>77</v>
      </c>
      <c r="D1392">
        <v>20055</v>
      </c>
      <c r="E1392" s="143">
        <v>68500</v>
      </c>
      <c r="F1392" s="117">
        <v>1403</v>
      </c>
      <c r="G1392" s="321" t="s">
        <v>302</v>
      </c>
      <c r="H1392" s="144">
        <f>bargiri[[#This Row],[میزان بارگیری شده]]*bargiri[[#This Row],[فی]]</f>
        <v>1373767500</v>
      </c>
      <c r="I1392" s="321">
        <f>IF(year=bargiri[[#This Row],[سال]],1,0)</f>
        <v>0</v>
      </c>
    </row>
    <row r="1393" spans="1:9" ht="18.600000000000001" hidden="1" x14ac:dyDescent="0.25">
      <c r="A1393" s="321" t="s">
        <v>456</v>
      </c>
      <c r="B1393" s="321" t="s">
        <v>101</v>
      </c>
      <c r="C1393" s="318" t="s">
        <v>20</v>
      </c>
      <c r="D1393">
        <v>19720</v>
      </c>
      <c r="E1393" s="143">
        <v>68000</v>
      </c>
      <c r="F1393" s="117">
        <v>1403</v>
      </c>
      <c r="G1393" s="321" t="s">
        <v>302</v>
      </c>
      <c r="H1393" s="144">
        <f>bargiri[[#This Row],[میزان بارگیری شده]]*bargiri[[#This Row],[فی]]</f>
        <v>1340960000</v>
      </c>
      <c r="I1393" s="321">
        <f>IF(year=bargiri[[#This Row],[سال]],1,0)</f>
        <v>0</v>
      </c>
    </row>
    <row r="1394" spans="1:9" ht="18.600000000000001" hidden="1" x14ac:dyDescent="0.25">
      <c r="A1394" s="321" t="s">
        <v>456</v>
      </c>
      <c r="B1394" s="321" t="s">
        <v>98</v>
      </c>
      <c r="C1394" s="318" t="s">
        <v>11</v>
      </c>
      <c r="D1394">
        <v>22610</v>
      </c>
      <c r="E1394" s="143">
        <v>77000</v>
      </c>
      <c r="F1394" s="117">
        <v>1403</v>
      </c>
      <c r="G1394" s="321" t="s">
        <v>302</v>
      </c>
      <c r="H1394" s="144">
        <f>bargiri[[#This Row],[میزان بارگیری شده]]*bargiri[[#This Row],[فی]]</f>
        <v>1740970000</v>
      </c>
      <c r="I1394" s="321">
        <f>IF(year=bargiri[[#This Row],[سال]],1,0)</f>
        <v>0</v>
      </c>
    </row>
    <row r="1395" spans="1:9" ht="18.600000000000001" hidden="1" x14ac:dyDescent="0.25">
      <c r="A1395" s="321" t="s">
        <v>206</v>
      </c>
      <c r="B1395" s="321" t="s">
        <v>107</v>
      </c>
      <c r="C1395" s="318" t="s">
        <v>51</v>
      </c>
      <c r="D1395">
        <v>15075</v>
      </c>
      <c r="E1395" s="143">
        <v>74000</v>
      </c>
      <c r="F1395" s="117">
        <v>1403</v>
      </c>
      <c r="G1395" s="321" t="s">
        <v>302</v>
      </c>
      <c r="H1395" s="144">
        <f>bargiri[[#This Row],[میزان بارگیری شده]]*bargiri[[#This Row],[فی]]</f>
        <v>1115550000</v>
      </c>
      <c r="I1395" s="321">
        <f>IF(year=bargiri[[#This Row],[سال]],1,0)</f>
        <v>0</v>
      </c>
    </row>
    <row r="1396" spans="1:9" ht="18.600000000000001" hidden="1" x14ac:dyDescent="0.25">
      <c r="A1396" s="321" t="s">
        <v>459</v>
      </c>
      <c r="B1396" s="321" t="s">
        <v>115</v>
      </c>
      <c r="C1396" s="318" t="s">
        <v>65</v>
      </c>
      <c r="D1396">
        <v>20155</v>
      </c>
      <c r="E1396" s="143">
        <v>75000</v>
      </c>
      <c r="F1396" s="117">
        <v>1403</v>
      </c>
      <c r="G1396" s="321" t="s">
        <v>302</v>
      </c>
      <c r="H1396" s="144">
        <f>bargiri[[#This Row],[میزان بارگیری شده]]*bargiri[[#This Row],[فی]]</f>
        <v>1511625000</v>
      </c>
      <c r="I1396" s="321">
        <f>IF(year=bargiri[[#This Row],[سال]],1,0)</f>
        <v>0</v>
      </c>
    </row>
    <row r="1397" spans="1:9" ht="18.600000000000001" hidden="1" x14ac:dyDescent="0.25">
      <c r="A1397" s="321" t="s">
        <v>459</v>
      </c>
      <c r="B1397" s="321" t="s">
        <v>103</v>
      </c>
      <c r="C1397" s="318" t="s">
        <v>30</v>
      </c>
      <c r="D1397">
        <v>6985</v>
      </c>
      <c r="E1397" s="143">
        <v>70000</v>
      </c>
      <c r="F1397" s="117">
        <v>1403</v>
      </c>
      <c r="G1397" s="321" t="s">
        <v>302</v>
      </c>
      <c r="H1397" s="144">
        <f>bargiri[[#This Row],[میزان بارگیری شده]]*bargiri[[#This Row],[فی]]</f>
        <v>488950000</v>
      </c>
      <c r="I1397" s="321">
        <f>IF(year=bargiri[[#This Row],[سال]],1,0)</f>
        <v>0</v>
      </c>
    </row>
    <row r="1398" spans="1:9" ht="18.600000000000001" hidden="1" x14ac:dyDescent="0.25">
      <c r="A1398" s="321" t="s">
        <v>459</v>
      </c>
      <c r="B1398" s="321" t="s">
        <v>103</v>
      </c>
      <c r="C1398" s="318" t="s">
        <v>30</v>
      </c>
      <c r="D1398">
        <v>6670</v>
      </c>
      <c r="E1398" s="143">
        <v>70000</v>
      </c>
      <c r="F1398" s="117">
        <v>1403</v>
      </c>
      <c r="G1398" s="321" t="s">
        <v>302</v>
      </c>
      <c r="H1398" s="144">
        <f>bargiri[[#This Row],[میزان بارگیری شده]]*bargiri[[#This Row],[فی]]</f>
        <v>466900000</v>
      </c>
      <c r="I1398" s="321">
        <f>IF(year=bargiri[[#This Row],[سال]],1,0)</f>
        <v>0</v>
      </c>
    </row>
    <row r="1399" spans="1:9" ht="18.600000000000001" hidden="1" x14ac:dyDescent="0.25">
      <c r="A1399" s="321" t="s">
        <v>459</v>
      </c>
      <c r="B1399" s="321" t="s">
        <v>117</v>
      </c>
      <c r="C1399" s="318" t="s">
        <v>82</v>
      </c>
      <c r="D1399">
        <v>20270</v>
      </c>
      <c r="E1399" s="143">
        <v>70000</v>
      </c>
      <c r="F1399" s="117">
        <v>1403</v>
      </c>
      <c r="G1399" s="321" t="s">
        <v>302</v>
      </c>
      <c r="H1399" s="144">
        <f>bargiri[[#This Row],[میزان بارگیری شده]]*bargiri[[#This Row],[فی]]</f>
        <v>1418900000</v>
      </c>
      <c r="I1399" s="321">
        <f>IF(year=bargiri[[#This Row],[سال]],1,0)</f>
        <v>0</v>
      </c>
    </row>
    <row r="1400" spans="1:9" ht="18.600000000000001" x14ac:dyDescent="0.25">
      <c r="A1400" s="321" t="s">
        <v>159</v>
      </c>
      <c r="B1400" s="321" t="s">
        <v>118</v>
      </c>
      <c r="C1400" s="318" t="s">
        <v>85</v>
      </c>
      <c r="D1400">
        <v>20035</v>
      </c>
      <c r="E1400" s="143">
        <v>56881</v>
      </c>
      <c r="F1400" s="117">
        <v>1403</v>
      </c>
      <c r="G1400" s="321" t="s">
        <v>302</v>
      </c>
      <c r="H1400" s="144">
        <f>bargiri[[#This Row],[میزان بارگیری شده]]*bargiri[[#This Row],[فی]]</f>
        <v>1139610835</v>
      </c>
      <c r="I1400" s="321">
        <f>IF(year=bargiri[[#This Row],[سال]],1,0)</f>
        <v>0</v>
      </c>
    </row>
    <row r="1401" spans="1:9" ht="18.600000000000001" x14ac:dyDescent="0.25">
      <c r="A1401" s="321" t="s">
        <v>159</v>
      </c>
      <c r="B1401" s="321" t="s">
        <v>118</v>
      </c>
      <c r="C1401" s="318" t="s">
        <v>85</v>
      </c>
      <c r="D1401">
        <v>20145</v>
      </c>
      <c r="E1401" s="143">
        <v>56881</v>
      </c>
      <c r="F1401" s="117">
        <v>1403</v>
      </c>
      <c r="G1401" s="321" t="s">
        <v>302</v>
      </c>
      <c r="H1401" s="144">
        <f>bargiri[[#This Row],[میزان بارگیری شده]]*bargiri[[#This Row],[فی]]</f>
        <v>1145867745</v>
      </c>
      <c r="I1401" s="321">
        <f>IF(year=bargiri[[#This Row],[سال]],1,0)</f>
        <v>0</v>
      </c>
    </row>
    <row r="1402" spans="1:9" ht="18.600000000000001" x14ac:dyDescent="0.25">
      <c r="A1402" s="321" t="s">
        <v>159</v>
      </c>
      <c r="B1402" s="321" t="s">
        <v>118</v>
      </c>
      <c r="C1402" s="318" t="s">
        <v>85</v>
      </c>
      <c r="D1402">
        <v>20075</v>
      </c>
      <c r="E1402" s="143">
        <v>56881</v>
      </c>
      <c r="F1402" s="117">
        <v>1403</v>
      </c>
      <c r="G1402" s="321" t="s">
        <v>302</v>
      </c>
      <c r="H1402" s="144">
        <f>bargiri[[#This Row],[میزان بارگیری شده]]*bargiri[[#This Row],[فی]]</f>
        <v>1141886075</v>
      </c>
      <c r="I1402" s="321">
        <f>IF(year=bargiri[[#This Row],[سال]],1,0)</f>
        <v>0</v>
      </c>
    </row>
    <row r="1403" spans="1:9" ht="18.600000000000001" hidden="1" x14ac:dyDescent="0.25">
      <c r="A1403" s="321" t="s">
        <v>159</v>
      </c>
      <c r="B1403" s="321" t="s">
        <v>116</v>
      </c>
      <c r="C1403" s="318" t="s">
        <v>77</v>
      </c>
      <c r="D1403">
        <v>20020</v>
      </c>
      <c r="E1403" s="143">
        <v>68500</v>
      </c>
      <c r="F1403" s="117">
        <v>1403</v>
      </c>
      <c r="G1403" s="321" t="s">
        <v>302</v>
      </c>
      <c r="H1403" s="144">
        <f>bargiri[[#This Row],[میزان بارگیری شده]]*bargiri[[#This Row],[فی]]</f>
        <v>1371370000</v>
      </c>
      <c r="I1403" s="321">
        <f>IF(year=bargiri[[#This Row],[سال]],1,0)</f>
        <v>0</v>
      </c>
    </row>
    <row r="1404" spans="1:9" ht="18.600000000000001" hidden="1" x14ac:dyDescent="0.25">
      <c r="A1404" s="321" t="s">
        <v>159</v>
      </c>
      <c r="B1404" s="321" t="s">
        <v>116</v>
      </c>
      <c r="C1404" s="318" t="s">
        <v>77</v>
      </c>
      <c r="D1404">
        <v>8160</v>
      </c>
      <c r="E1404" s="143">
        <v>68500</v>
      </c>
      <c r="F1404" s="117">
        <v>1403</v>
      </c>
      <c r="G1404" s="321" t="s">
        <v>302</v>
      </c>
      <c r="H1404" s="144">
        <f>bargiri[[#This Row],[میزان بارگیری شده]]*bargiri[[#This Row],[فی]]</f>
        <v>558960000</v>
      </c>
      <c r="I1404" s="321">
        <f>IF(year=bargiri[[#This Row],[سال]],1,0)</f>
        <v>0</v>
      </c>
    </row>
    <row r="1405" spans="1:9" ht="18.600000000000001" hidden="1" x14ac:dyDescent="0.25">
      <c r="A1405" s="321" t="s">
        <v>456</v>
      </c>
      <c r="B1405" s="321" t="s">
        <v>99</v>
      </c>
      <c r="C1405" s="318" t="s">
        <v>13</v>
      </c>
      <c r="D1405">
        <v>18450</v>
      </c>
      <c r="E1405" s="143">
        <v>65000</v>
      </c>
      <c r="F1405" s="117">
        <v>1403</v>
      </c>
      <c r="G1405" s="321" t="s">
        <v>302</v>
      </c>
      <c r="H1405" s="144">
        <f>bargiri[[#This Row],[میزان بارگیری شده]]*bargiri[[#This Row],[فی]]</f>
        <v>1199250000</v>
      </c>
      <c r="I1405" s="321">
        <f>IF(year=bargiri[[#This Row],[سال]],1,0)</f>
        <v>0</v>
      </c>
    </row>
    <row r="1406" spans="1:9" ht="18.600000000000001" hidden="1" x14ac:dyDescent="0.25">
      <c r="A1406" s="321" t="s">
        <v>459</v>
      </c>
      <c r="B1406" s="321" t="s">
        <v>104</v>
      </c>
      <c r="C1406" s="318" t="s">
        <v>41</v>
      </c>
      <c r="D1406">
        <v>18185</v>
      </c>
      <c r="E1406" s="143">
        <v>85000</v>
      </c>
      <c r="F1406" s="117">
        <v>1403</v>
      </c>
      <c r="G1406" s="321" t="s">
        <v>302</v>
      </c>
      <c r="H1406" s="144">
        <f>bargiri[[#This Row],[میزان بارگیری شده]]*bargiri[[#This Row],[فی]]</f>
        <v>1545725000</v>
      </c>
      <c r="I1406" s="321">
        <f>IF(year=bargiri[[#This Row],[سال]],1,0)</f>
        <v>0</v>
      </c>
    </row>
    <row r="1407" spans="1:9" ht="18.600000000000001" hidden="1" x14ac:dyDescent="0.25">
      <c r="A1407" s="321" t="s">
        <v>459</v>
      </c>
      <c r="B1407" s="321" t="s">
        <v>116</v>
      </c>
      <c r="C1407" s="318" t="s">
        <v>77</v>
      </c>
      <c r="D1407">
        <v>7475</v>
      </c>
      <c r="E1407" s="143">
        <v>68500</v>
      </c>
      <c r="F1407" s="117">
        <v>1403</v>
      </c>
      <c r="G1407" s="321" t="s">
        <v>302</v>
      </c>
      <c r="H1407" s="144">
        <f>bargiri[[#This Row],[میزان بارگیری شده]]*bargiri[[#This Row],[فی]]</f>
        <v>512037500</v>
      </c>
      <c r="I1407" s="321">
        <f>IF(year=bargiri[[#This Row],[سال]],1,0)</f>
        <v>0</v>
      </c>
    </row>
    <row r="1408" spans="1:9" ht="18.600000000000001" hidden="1" x14ac:dyDescent="0.25">
      <c r="A1408" s="321" t="s">
        <v>459</v>
      </c>
      <c r="B1408" s="321" t="s">
        <v>102</v>
      </c>
      <c r="C1408" s="318" t="s">
        <v>26</v>
      </c>
      <c r="D1408">
        <v>11975</v>
      </c>
      <c r="E1408" s="143">
        <v>70000</v>
      </c>
      <c r="F1408" s="117">
        <v>1403</v>
      </c>
      <c r="G1408" s="321" t="s">
        <v>302</v>
      </c>
      <c r="H1408" s="144">
        <f>bargiri[[#This Row],[میزان بارگیری شده]]*bargiri[[#This Row],[فی]]</f>
        <v>838250000</v>
      </c>
      <c r="I1408" s="321">
        <f>IF(year=bargiri[[#This Row],[سال]],1,0)</f>
        <v>0</v>
      </c>
    </row>
    <row r="1409" spans="1:9" ht="18.600000000000001" hidden="1" x14ac:dyDescent="0.25">
      <c r="A1409" s="321" t="s">
        <v>159</v>
      </c>
      <c r="B1409" s="321" t="s">
        <v>104</v>
      </c>
      <c r="C1409" s="318" t="s">
        <v>41</v>
      </c>
      <c r="D1409">
        <v>17945</v>
      </c>
      <c r="E1409" s="143">
        <v>85000</v>
      </c>
      <c r="F1409" s="117">
        <v>1403</v>
      </c>
      <c r="G1409" s="321" t="s">
        <v>302</v>
      </c>
      <c r="H1409" s="144">
        <f>bargiri[[#This Row],[میزان بارگیری شده]]*bargiri[[#This Row],[فی]]</f>
        <v>1525325000</v>
      </c>
      <c r="I1409" s="321">
        <f>IF(year=bargiri[[#This Row],[سال]],1,0)</f>
        <v>0</v>
      </c>
    </row>
    <row r="1410" spans="1:9" ht="18.600000000000001" x14ac:dyDescent="0.25">
      <c r="A1410" s="321" t="s">
        <v>211</v>
      </c>
      <c r="B1410" s="321" t="s">
        <v>118</v>
      </c>
      <c r="C1410" s="318" t="s">
        <v>85</v>
      </c>
      <c r="D1410">
        <v>20120</v>
      </c>
      <c r="E1410" s="143">
        <v>56881</v>
      </c>
      <c r="F1410" s="117">
        <v>1403</v>
      </c>
      <c r="G1410" s="321" t="s">
        <v>303</v>
      </c>
      <c r="H1410" s="144">
        <f>bargiri[[#This Row],[میزان بارگیری شده]]*bargiri[[#This Row],[فی]]</f>
        <v>1144445720</v>
      </c>
      <c r="I1410" s="321">
        <f>IF(year=bargiri[[#This Row],[سال]],1,0)</f>
        <v>0</v>
      </c>
    </row>
    <row r="1411" spans="1:9" ht="18.600000000000001" x14ac:dyDescent="0.25">
      <c r="A1411" s="321" t="s">
        <v>211</v>
      </c>
      <c r="B1411" s="321" t="s">
        <v>118</v>
      </c>
      <c r="C1411" s="318" t="s">
        <v>85</v>
      </c>
      <c r="D1411">
        <v>20060</v>
      </c>
      <c r="E1411" s="143">
        <v>56881</v>
      </c>
      <c r="F1411" s="117">
        <v>1403</v>
      </c>
      <c r="G1411" s="321" t="s">
        <v>303</v>
      </c>
      <c r="H1411" s="144">
        <f>bargiri[[#This Row],[میزان بارگیری شده]]*bargiri[[#This Row],[فی]]</f>
        <v>1141032860</v>
      </c>
      <c r="I1411" s="321">
        <f>IF(year=bargiri[[#This Row],[سال]],1,0)</f>
        <v>0</v>
      </c>
    </row>
    <row r="1412" spans="1:9" ht="18.600000000000001" hidden="1" x14ac:dyDescent="0.25">
      <c r="A1412" s="321" t="s">
        <v>211</v>
      </c>
      <c r="B1412" s="321" t="s">
        <v>102</v>
      </c>
      <c r="C1412" s="318" t="s">
        <v>26</v>
      </c>
      <c r="D1412">
        <v>10120</v>
      </c>
      <c r="E1412" s="143">
        <v>70000</v>
      </c>
      <c r="F1412" s="117">
        <v>1403</v>
      </c>
      <c r="G1412" s="321" t="s">
        <v>303</v>
      </c>
      <c r="H1412" s="144">
        <f>bargiri[[#This Row],[میزان بارگیری شده]]*bargiri[[#This Row],[فی]]</f>
        <v>708400000</v>
      </c>
      <c r="I1412" s="321">
        <f>IF(year=bargiri[[#This Row],[سال]],1,0)</f>
        <v>0</v>
      </c>
    </row>
    <row r="1413" spans="1:9" ht="18.600000000000001" hidden="1" x14ac:dyDescent="0.25">
      <c r="A1413" s="321" t="s">
        <v>211</v>
      </c>
      <c r="B1413" s="321" t="s">
        <v>124</v>
      </c>
      <c r="C1413" s="318" t="s">
        <v>94</v>
      </c>
      <c r="D1413">
        <v>20130</v>
      </c>
      <c r="E1413" s="143">
        <v>70000</v>
      </c>
      <c r="F1413" s="117">
        <v>1403</v>
      </c>
      <c r="G1413" s="321" t="s">
        <v>303</v>
      </c>
      <c r="H1413" s="144">
        <f>bargiri[[#This Row],[میزان بارگیری شده]]*bargiri[[#This Row],[فی]]</f>
        <v>1409100000</v>
      </c>
      <c r="I1413" s="321">
        <f>IF(year=bargiri[[#This Row],[سال]],1,0)</f>
        <v>0</v>
      </c>
    </row>
    <row r="1414" spans="1:9" ht="18.600000000000001" hidden="1" x14ac:dyDescent="0.25">
      <c r="A1414" s="321" t="s">
        <v>211</v>
      </c>
      <c r="B1414" s="321" t="s">
        <v>116</v>
      </c>
      <c r="C1414" s="318" t="s">
        <v>77</v>
      </c>
      <c r="D1414">
        <v>20100</v>
      </c>
      <c r="E1414" s="143">
        <v>68500</v>
      </c>
      <c r="F1414" s="117">
        <v>1403</v>
      </c>
      <c r="G1414" s="321" t="s">
        <v>303</v>
      </c>
      <c r="H1414" s="144">
        <f>bargiri[[#This Row],[میزان بارگیری شده]]*bargiri[[#This Row],[فی]]</f>
        <v>1376850000</v>
      </c>
      <c r="I1414" s="321">
        <f>IF(year=bargiri[[#This Row],[سال]],1,0)</f>
        <v>0</v>
      </c>
    </row>
    <row r="1415" spans="1:9" ht="18.600000000000001" hidden="1" x14ac:dyDescent="0.25">
      <c r="A1415" s="321" t="s">
        <v>211</v>
      </c>
      <c r="B1415" s="321" t="s">
        <v>111</v>
      </c>
      <c r="C1415" s="318" t="s">
        <v>58</v>
      </c>
      <c r="D1415">
        <v>3550</v>
      </c>
      <c r="E1415" s="143">
        <v>80000</v>
      </c>
      <c r="F1415" s="117">
        <v>1403</v>
      </c>
      <c r="G1415" s="321" t="s">
        <v>303</v>
      </c>
      <c r="H1415" s="144">
        <f>bargiri[[#This Row],[میزان بارگیری شده]]*bargiri[[#This Row],[فی]]</f>
        <v>284000000</v>
      </c>
      <c r="I1415" s="321">
        <f>IF(year=bargiri[[#This Row],[سال]],1,0)</f>
        <v>0</v>
      </c>
    </row>
    <row r="1416" spans="1:9" ht="18.600000000000001" hidden="1" x14ac:dyDescent="0.25">
      <c r="A1416" s="321" t="s">
        <v>211</v>
      </c>
      <c r="B1416" s="321" t="s">
        <v>111</v>
      </c>
      <c r="C1416" s="318" t="s">
        <v>59</v>
      </c>
      <c r="D1416">
        <v>6335</v>
      </c>
      <c r="E1416" s="143">
        <v>80000</v>
      </c>
      <c r="F1416" s="117">
        <v>1403</v>
      </c>
      <c r="G1416" s="321" t="s">
        <v>303</v>
      </c>
      <c r="H1416" s="144">
        <f>bargiri[[#This Row],[میزان بارگیری شده]]*bargiri[[#This Row],[فی]]</f>
        <v>506800000</v>
      </c>
      <c r="I1416" s="321">
        <f>IF(year=bargiri[[#This Row],[سال]],1,0)</f>
        <v>0</v>
      </c>
    </row>
    <row r="1417" spans="1:9" ht="18.600000000000001" hidden="1" x14ac:dyDescent="0.25">
      <c r="A1417" s="321" t="s">
        <v>460</v>
      </c>
      <c r="B1417" s="321" t="s">
        <v>103</v>
      </c>
      <c r="C1417" s="318" t="s">
        <v>30</v>
      </c>
      <c r="D1417">
        <v>7010</v>
      </c>
      <c r="E1417" s="143">
        <v>70000</v>
      </c>
      <c r="F1417" s="117">
        <v>1403</v>
      </c>
      <c r="G1417" s="321" t="s">
        <v>303</v>
      </c>
      <c r="H1417" s="144">
        <f>bargiri[[#This Row],[میزان بارگیری شده]]*bargiri[[#This Row],[فی]]</f>
        <v>490700000</v>
      </c>
      <c r="I1417" s="321">
        <f>IF(year=bargiri[[#This Row],[سال]],1,0)</f>
        <v>0</v>
      </c>
    </row>
    <row r="1418" spans="1:9" ht="18.600000000000001" hidden="1" x14ac:dyDescent="0.25">
      <c r="A1418" s="321" t="s">
        <v>461</v>
      </c>
      <c r="B1418" s="321" t="s">
        <v>103</v>
      </c>
      <c r="C1418" s="318" t="s">
        <v>30</v>
      </c>
      <c r="D1418">
        <v>7780</v>
      </c>
      <c r="E1418" s="143">
        <v>70000</v>
      </c>
      <c r="F1418" s="117">
        <v>1403</v>
      </c>
      <c r="G1418" s="321" t="s">
        <v>303</v>
      </c>
      <c r="H1418" s="144">
        <f>bargiri[[#This Row],[میزان بارگیری شده]]*bargiri[[#This Row],[فی]]</f>
        <v>544600000</v>
      </c>
      <c r="I1418" s="321">
        <f>IF(year=bargiri[[#This Row],[سال]],1,0)</f>
        <v>0</v>
      </c>
    </row>
    <row r="1419" spans="1:9" ht="18.600000000000001" hidden="1" x14ac:dyDescent="0.25">
      <c r="A1419" s="321" t="s">
        <v>211</v>
      </c>
      <c r="B1419" s="321" t="s">
        <v>99</v>
      </c>
      <c r="C1419" s="318" t="s">
        <v>13</v>
      </c>
      <c r="D1419">
        <v>18225</v>
      </c>
      <c r="E1419" s="143">
        <v>65000</v>
      </c>
      <c r="F1419" s="117">
        <v>1403</v>
      </c>
      <c r="G1419" s="321" t="s">
        <v>303</v>
      </c>
      <c r="H1419" s="144">
        <f>bargiri[[#This Row],[میزان بارگیری شده]]*bargiri[[#This Row],[فی]]</f>
        <v>1184625000</v>
      </c>
      <c r="I1419" s="321">
        <f>IF(year=bargiri[[#This Row],[سال]],1,0)</f>
        <v>0</v>
      </c>
    </row>
    <row r="1420" spans="1:9" ht="18.600000000000001" hidden="1" x14ac:dyDescent="0.25">
      <c r="A1420" s="321" t="s">
        <v>462</v>
      </c>
      <c r="B1420" s="321" t="s">
        <v>108</v>
      </c>
      <c r="C1420" s="318" t="s">
        <v>53</v>
      </c>
      <c r="D1420">
        <v>20005</v>
      </c>
      <c r="E1420" s="143">
        <v>70000</v>
      </c>
      <c r="F1420" s="117">
        <v>1403</v>
      </c>
      <c r="G1420" s="321" t="s">
        <v>303</v>
      </c>
      <c r="H1420" s="144">
        <f>bargiri[[#This Row],[میزان بارگیری شده]]*bargiri[[#This Row],[فی]]</f>
        <v>1400350000</v>
      </c>
      <c r="I1420" s="321">
        <f>IF(year=bargiri[[#This Row],[سال]],1,0)</f>
        <v>0</v>
      </c>
    </row>
    <row r="1421" spans="1:9" ht="18.600000000000001" hidden="1" x14ac:dyDescent="0.25">
      <c r="A1421" s="321" t="s">
        <v>462</v>
      </c>
      <c r="B1421" s="321" t="s">
        <v>116</v>
      </c>
      <c r="C1421" s="318" t="s">
        <v>77</v>
      </c>
      <c r="D1421">
        <v>20080</v>
      </c>
      <c r="E1421" s="143">
        <v>68500</v>
      </c>
      <c r="F1421" s="117">
        <v>1403</v>
      </c>
      <c r="G1421" s="321" t="s">
        <v>303</v>
      </c>
      <c r="H1421" s="144">
        <f>bargiri[[#This Row],[میزان بارگیری شده]]*bargiri[[#This Row],[فی]]</f>
        <v>1375480000</v>
      </c>
      <c r="I1421" s="321">
        <f>IF(year=bargiri[[#This Row],[سال]],1,0)</f>
        <v>0</v>
      </c>
    </row>
    <row r="1422" spans="1:9" ht="18.600000000000001" hidden="1" x14ac:dyDescent="0.25">
      <c r="A1422" s="321" t="s">
        <v>462</v>
      </c>
      <c r="B1422" s="321" t="s">
        <v>98</v>
      </c>
      <c r="C1422" s="318" t="s">
        <v>11</v>
      </c>
      <c r="D1422">
        <v>20245</v>
      </c>
      <c r="E1422" s="143">
        <v>77000</v>
      </c>
      <c r="F1422" s="117">
        <v>1403</v>
      </c>
      <c r="G1422" s="321" t="s">
        <v>303</v>
      </c>
      <c r="H1422" s="144">
        <f>bargiri[[#This Row],[میزان بارگیری شده]]*bargiri[[#This Row],[فی]]</f>
        <v>1558865000</v>
      </c>
      <c r="I1422" s="321">
        <f>IF(year=bargiri[[#This Row],[سال]],1,0)</f>
        <v>0</v>
      </c>
    </row>
    <row r="1423" spans="1:9" ht="18.600000000000001" hidden="1" x14ac:dyDescent="0.25">
      <c r="A1423" s="321" t="s">
        <v>462</v>
      </c>
      <c r="B1423" s="321" t="s">
        <v>99</v>
      </c>
      <c r="C1423" s="318" t="s">
        <v>13</v>
      </c>
      <c r="D1423">
        <v>17930</v>
      </c>
      <c r="E1423" s="143">
        <v>65000</v>
      </c>
      <c r="F1423" s="117">
        <v>1403</v>
      </c>
      <c r="G1423" s="321" t="s">
        <v>303</v>
      </c>
      <c r="H1423" s="144">
        <f>bargiri[[#This Row],[میزان بارگیری شده]]*bargiri[[#This Row],[فی]]</f>
        <v>1165450000</v>
      </c>
      <c r="I1423" s="321">
        <f>IF(year=bargiri[[#This Row],[سال]],1,0)</f>
        <v>0</v>
      </c>
    </row>
    <row r="1424" spans="1:9" ht="18.600000000000001" hidden="1" x14ac:dyDescent="0.25">
      <c r="A1424" s="321" t="s">
        <v>460</v>
      </c>
      <c r="B1424" s="321" t="s">
        <v>115</v>
      </c>
      <c r="C1424" s="318" t="s">
        <v>65</v>
      </c>
      <c r="D1424">
        <v>7080</v>
      </c>
      <c r="E1424" s="143">
        <v>75000</v>
      </c>
      <c r="F1424" s="117">
        <v>1403</v>
      </c>
      <c r="G1424" s="321" t="s">
        <v>303</v>
      </c>
      <c r="H1424" s="144">
        <f>bargiri[[#This Row],[میزان بارگیری شده]]*bargiri[[#This Row],[فی]]</f>
        <v>531000000</v>
      </c>
      <c r="I1424" s="321">
        <f>IF(year=bargiri[[#This Row],[سال]],1,0)</f>
        <v>0</v>
      </c>
    </row>
    <row r="1425" spans="1:9" ht="18.600000000000001" hidden="1" x14ac:dyDescent="0.25">
      <c r="A1425" s="321" t="s">
        <v>460</v>
      </c>
      <c r="B1425" s="321" t="s">
        <v>104</v>
      </c>
      <c r="C1425" s="318" t="s">
        <v>41</v>
      </c>
      <c r="D1425">
        <v>17075</v>
      </c>
      <c r="E1425" s="143">
        <v>85000</v>
      </c>
      <c r="F1425" s="117">
        <v>1403</v>
      </c>
      <c r="G1425" s="321" t="s">
        <v>303</v>
      </c>
      <c r="H1425" s="144">
        <f>bargiri[[#This Row],[میزان بارگیری شده]]*bargiri[[#This Row],[فی]]</f>
        <v>1451375000</v>
      </c>
      <c r="I1425" s="321">
        <f>IF(year=bargiri[[#This Row],[سال]],1,0)</f>
        <v>0</v>
      </c>
    </row>
    <row r="1426" spans="1:9" ht="18.600000000000001" hidden="1" x14ac:dyDescent="0.25">
      <c r="A1426" s="321" t="s">
        <v>460</v>
      </c>
      <c r="B1426" s="321" t="s">
        <v>101</v>
      </c>
      <c r="C1426" s="318" t="s">
        <v>20</v>
      </c>
      <c r="D1426">
        <v>10010</v>
      </c>
      <c r="E1426" s="143">
        <v>68000</v>
      </c>
      <c r="F1426" s="117">
        <v>1403</v>
      </c>
      <c r="G1426" s="321" t="s">
        <v>303</v>
      </c>
      <c r="H1426" s="144">
        <f>bargiri[[#This Row],[میزان بارگیری شده]]*bargiri[[#This Row],[فی]]</f>
        <v>680680000</v>
      </c>
      <c r="I1426" s="321">
        <f>IF(year=bargiri[[#This Row],[سال]],1,0)</f>
        <v>0</v>
      </c>
    </row>
    <row r="1427" spans="1:9" ht="18.600000000000001" hidden="1" x14ac:dyDescent="0.25">
      <c r="A1427" s="321" t="s">
        <v>460</v>
      </c>
      <c r="B1427" s="321" t="s">
        <v>102</v>
      </c>
      <c r="C1427" s="318" t="s">
        <v>26</v>
      </c>
      <c r="D1427">
        <v>9680</v>
      </c>
      <c r="E1427" s="143">
        <v>70000</v>
      </c>
      <c r="F1427" s="117">
        <v>1403</v>
      </c>
      <c r="G1427" s="321" t="s">
        <v>303</v>
      </c>
      <c r="H1427" s="144">
        <f>bargiri[[#This Row],[میزان بارگیری شده]]*bargiri[[#This Row],[فی]]</f>
        <v>677600000</v>
      </c>
      <c r="I1427" s="321">
        <f>IF(year=bargiri[[#This Row],[سال]],1,0)</f>
        <v>0</v>
      </c>
    </row>
    <row r="1428" spans="1:9" ht="18.600000000000001" hidden="1" x14ac:dyDescent="0.25">
      <c r="A1428" s="321" t="s">
        <v>460</v>
      </c>
      <c r="B1428" s="321" t="s">
        <v>117</v>
      </c>
      <c r="C1428" s="318" t="s">
        <v>82</v>
      </c>
      <c r="D1428">
        <v>17975</v>
      </c>
      <c r="E1428" s="143">
        <v>70000</v>
      </c>
      <c r="F1428" s="117">
        <v>1403</v>
      </c>
      <c r="G1428" s="321" t="s">
        <v>303</v>
      </c>
      <c r="H1428" s="144">
        <f>bargiri[[#This Row],[میزان بارگیری شده]]*bargiri[[#This Row],[فی]]</f>
        <v>1258250000</v>
      </c>
      <c r="I1428" s="321">
        <f>IF(year=bargiri[[#This Row],[سال]],1,0)</f>
        <v>0</v>
      </c>
    </row>
    <row r="1429" spans="1:9" ht="18.600000000000001" hidden="1" x14ac:dyDescent="0.25">
      <c r="A1429" s="321" t="s">
        <v>215</v>
      </c>
      <c r="B1429" s="321" t="s">
        <v>103</v>
      </c>
      <c r="C1429" s="318" t="s">
        <v>30</v>
      </c>
      <c r="D1429">
        <v>7820</v>
      </c>
      <c r="E1429" s="143">
        <v>70000</v>
      </c>
      <c r="F1429" s="117">
        <v>1403</v>
      </c>
      <c r="G1429" s="321" t="s">
        <v>304</v>
      </c>
      <c r="H1429" s="144">
        <f>bargiri[[#This Row],[میزان بارگیری شده]]*bargiri[[#This Row],[فی]]</f>
        <v>547400000</v>
      </c>
      <c r="I1429" s="321">
        <f>IF(year=bargiri[[#This Row],[سال]],1,0)</f>
        <v>0</v>
      </c>
    </row>
    <row r="1430" spans="1:9" ht="18.600000000000001" hidden="1" x14ac:dyDescent="0.25">
      <c r="A1430" s="321" t="s">
        <v>463</v>
      </c>
      <c r="B1430" s="321" t="s">
        <v>103</v>
      </c>
      <c r="C1430" s="318" t="s">
        <v>30</v>
      </c>
      <c r="D1430">
        <v>7880</v>
      </c>
      <c r="E1430" s="143">
        <v>70000</v>
      </c>
      <c r="F1430" s="117">
        <v>1403</v>
      </c>
      <c r="G1430" s="321" t="s">
        <v>304</v>
      </c>
      <c r="H1430" s="144">
        <f>bargiri[[#This Row],[میزان بارگیری شده]]*bargiri[[#This Row],[فی]]</f>
        <v>551600000</v>
      </c>
      <c r="I1430" s="321">
        <f>IF(year=bargiri[[#This Row],[سال]],1,0)</f>
        <v>0</v>
      </c>
    </row>
    <row r="1431" spans="1:9" ht="18.600000000000001" hidden="1" x14ac:dyDescent="0.25">
      <c r="A1431" s="321" t="s">
        <v>210</v>
      </c>
      <c r="B1431" s="321" t="s">
        <v>103</v>
      </c>
      <c r="C1431" s="318" t="s">
        <v>30</v>
      </c>
      <c r="D1431">
        <v>7680</v>
      </c>
      <c r="E1431" s="143">
        <v>70000</v>
      </c>
      <c r="F1431" s="117">
        <v>1403</v>
      </c>
      <c r="G1431" s="321" t="s">
        <v>304</v>
      </c>
      <c r="H1431" s="144">
        <f>bargiri[[#This Row],[میزان بارگیری شده]]*bargiri[[#This Row],[فی]]</f>
        <v>537600000</v>
      </c>
      <c r="I1431" s="321">
        <f>IF(year=bargiri[[#This Row],[سال]],1,0)</f>
        <v>0</v>
      </c>
    </row>
    <row r="1432" spans="1:9" ht="18.600000000000001" hidden="1" x14ac:dyDescent="0.25">
      <c r="A1432" s="321" t="s">
        <v>464</v>
      </c>
      <c r="B1432" s="321" t="s">
        <v>103</v>
      </c>
      <c r="C1432" s="318" t="s">
        <v>30</v>
      </c>
      <c r="D1432">
        <v>7600</v>
      </c>
      <c r="E1432" s="143">
        <v>70000</v>
      </c>
      <c r="F1432" s="117">
        <v>1403</v>
      </c>
      <c r="G1432" s="321" t="s">
        <v>304</v>
      </c>
      <c r="H1432" s="144">
        <f>bargiri[[#This Row],[میزان بارگیری شده]]*bargiri[[#This Row],[فی]]</f>
        <v>532000000</v>
      </c>
      <c r="I1432" s="321">
        <f>IF(year=bargiri[[#This Row],[سال]],1,0)</f>
        <v>0</v>
      </c>
    </row>
    <row r="1433" spans="1:9" ht="18.600000000000001" hidden="1" x14ac:dyDescent="0.25">
      <c r="A1433" s="321" t="s">
        <v>464</v>
      </c>
      <c r="B1433" s="321" t="s">
        <v>103</v>
      </c>
      <c r="C1433" s="318" t="s">
        <v>30</v>
      </c>
      <c r="D1433">
        <v>7370</v>
      </c>
      <c r="E1433" s="143">
        <v>70000</v>
      </c>
      <c r="F1433" s="117">
        <v>1403</v>
      </c>
      <c r="G1433" s="321" t="s">
        <v>304</v>
      </c>
      <c r="H1433" s="144">
        <f>bargiri[[#This Row],[میزان بارگیری شده]]*bargiri[[#This Row],[فی]]</f>
        <v>515900000</v>
      </c>
      <c r="I1433" s="321">
        <f>IF(year=bargiri[[#This Row],[سال]],1,0)</f>
        <v>0</v>
      </c>
    </row>
    <row r="1434" spans="1:9" ht="18.600000000000001" hidden="1" x14ac:dyDescent="0.25">
      <c r="A1434" s="321" t="s">
        <v>465</v>
      </c>
      <c r="B1434" s="321" t="s">
        <v>103</v>
      </c>
      <c r="C1434" s="318" t="s">
        <v>30</v>
      </c>
      <c r="D1434">
        <v>7480</v>
      </c>
      <c r="E1434" s="143">
        <v>70000</v>
      </c>
      <c r="F1434" s="117">
        <v>1403</v>
      </c>
      <c r="G1434" s="321" t="s">
        <v>304</v>
      </c>
      <c r="H1434" s="144">
        <f>bargiri[[#This Row],[میزان بارگیری شده]]*bargiri[[#This Row],[فی]]</f>
        <v>523600000</v>
      </c>
      <c r="I1434" s="321">
        <f>IF(year=bargiri[[#This Row],[سال]],1,0)</f>
        <v>0</v>
      </c>
    </row>
    <row r="1435" spans="1:9" ht="18.600000000000001" hidden="1" x14ac:dyDescent="0.25">
      <c r="A1435" s="321" t="s">
        <v>199</v>
      </c>
      <c r="B1435" s="321" t="s">
        <v>103</v>
      </c>
      <c r="C1435" s="318" t="s">
        <v>30</v>
      </c>
      <c r="D1435">
        <v>9040</v>
      </c>
      <c r="E1435" s="143">
        <v>70000</v>
      </c>
      <c r="F1435" s="117">
        <v>1403</v>
      </c>
      <c r="G1435" s="321" t="s">
        <v>304</v>
      </c>
      <c r="H1435" s="144">
        <f>bargiri[[#This Row],[میزان بارگیری شده]]*bargiri[[#This Row],[فی]]</f>
        <v>632800000</v>
      </c>
      <c r="I1435" s="321">
        <f>IF(year=bargiri[[#This Row],[سال]],1,0)</f>
        <v>0</v>
      </c>
    </row>
    <row r="1436" spans="1:9" ht="18.600000000000001" hidden="1" x14ac:dyDescent="0.25">
      <c r="A1436" s="321" t="s">
        <v>460</v>
      </c>
      <c r="B1436" s="321" t="s">
        <v>115</v>
      </c>
      <c r="C1436" s="318" t="s">
        <v>65</v>
      </c>
      <c r="D1436">
        <v>21365</v>
      </c>
      <c r="E1436" s="143">
        <v>75000</v>
      </c>
      <c r="F1436" s="117">
        <v>1403</v>
      </c>
      <c r="G1436" s="321" t="s">
        <v>303</v>
      </c>
      <c r="H1436" s="144">
        <f>bargiri[[#This Row],[میزان بارگیری شده]]*bargiri[[#This Row],[فی]]</f>
        <v>1602375000</v>
      </c>
      <c r="I1436" s="321">
        <f>IF(year=bargiri[[#This Row],[سال]],1,0)</f>
        <v>0</v>
      </c>
    </row>
    <row r="1437" spans="1:9" ht="18.600000000000001" hidden="1" x14ac:dyDescent="0.25">
      <c r="A1437" s="321" t="s">
        <v>452</v>
      </c>
      <c r="B1437" s="321" t="s">
        <v>116</v>
      </c>
      <c r="C1437" s="318" t="s">
        <v>77</v>
      </c>
      <c r="D1437">
        <v>8085</v>
      </c>
      <c r="E1437" s="143">
        <v>68500</v>
      </c>
      <c r="F1437" s="117">
        <v>1403</v>
      </c>
      <c r="G1437" s="321" t="s">
        <v>303</v>
      </c>
      <c r="H1437" s="144">
        <f>bargiri[[#This Row],[میزان بارگیری شده]]*bargiri[[#This Row],[فی]]</f>
        <v>553822500</v>
      </c>
      <c r="I1437" s="321">
        <f>IF(year=bargiri[[#This Row],[سال]],1,0)</f>
        <v>0</v>
      </c>
    </row>
    <row r="1438" spans="1:9" ht="18.600000000000001" hidden="1" x14ac:dyDescent="0.25">
      <c r="A1438" s="321" t="s">
        <v>452</v>
      </c>
      <c r="B1438" s="321" t="s">
        <v>102</v>
      </c>
      <c r="C1438" s="318" t="s">
        <v>26</v>
      </c>
      <c r="D1438">
        <v>10180</v>
      </c>
      <c r="E1438" s="143">
        <v>70000</v>
      </c>
      <c r="F1438" s="117">
        <v>1403</v>
      </c>
      <c r="G1438" s="321" t="s">
        <v>303</v>
      </c>
      <c r="H1438" s="144">
        <f>bargiri[[#This Row],[میزان بارگیری شده]]*bargiri[[#This Row],[فی]]</f>
        <v>712600000</v>
      </c>
      <c r="I1438" s="321">
        <f>IF(year=bargiri[[#This Row],[سال]],1,0)</f>
        <v>0</v>
      </c>
    </row>
    <row r="1439" spans="1:9" ht="18.600000000000001" hidden="1" x14ac:dyDescent="0.25">
      <c r="A1439" s="321" t="s">
        <v>452</v>
      </c>
      <c r="B1439" s="321" t="s">
        <v>110</v>
      </c>
      <c r="C1439" s="318" t="s">
        <v>57</v>
      </c>
      <c r="D1439">
        <v>20105</v>
      </c>
      <c r="E1439" s="143">
        <v>78000</v>
      </c>
      <c r="F1439" s="117">
        <v>1403</v>
      </c>
      <c r="G1439" s="321" t="s">
        <v>303</v>
      </c>
      <c r="H1439" s="144">
        <f>bargiri[[#This Row],[میزان بارگیری شده]]*bargiri[[#This Row],[فی]]</f>
        <v>1568190000</v>
      </c>
      <c r="I1439" s="321">
        <f>IF(year=bargiri[[#This Row],[سال]],1,0)</f>
        <v>0</v>
      </c>
    </row>
    <row r="1440" spans="1:9" ht="18.600000000000001" hidden="1" x14ac:dyDescent="0.25">
      <c r="A1440" s="321" t="s">
        <v>452</v>
      </c>
      <c r="B1440" s="321" t="s">
        <v>116</v>
      </c>
      <c r="C1440" s="318" t="s">
        <v>77</v>
      </c>
      <c r="D1440">
        <v>18960</v>
      </c>
      <c r="E1440" s="143">
        <v>68500</v>
      </c>
      <c r="F1440" s="117">
        <v>1403</v>
      </c>
      <c r="G1440" s="321" t="s">
        <v>303</v>
      </c>
      <c r="H1440" s="144">
        <f>bargiri[[#This Row],[میزان بارگیری شده]]*bargiri[[#This Row],[فی]]</f>
        <v>1298760000</v>
      </c>
      <c r="I1440" s="321">
        <f>IF(year=bargiri[[#This Row],[سال]],1,0)</f>
        <v>0</v>
      </c>
    </row>
    <row r="1441" spans="1:9" ht="18.600000000000001" hidden="1" x14ac:dyDescent="0.25">
      <c r="A1441" s="321" t="s">
        <v>452</v>
      </c>
      <c r="B1441" s="321" t="s">
        <v>104</v>
      </c>
      <c r="C1441" s="318" t="s">
        <v>41</v>
      </c>
      <c r="D1441">
        <v>18065</v>
      </c>
      <c r="E1441" s="143">
        <v>85000</v>
      </c>
      <c r="F1441" s="117">
        <v>1403</v>
      </c>
      <c r="G1441" s="321" t="s">
        <v>303</v>
      </c>
      <c r="H1441" s="144">
        <f>bargiri[[#This Row],[میزان بارگیری شده]]*bargiri[[#This Row],[فی]]</f>
        <v>1535525000</v>
      </c>
      <c r="I1441" s="321">
        <f>IF(year=bargiri[[#This Row],[سال]],1,0)</f>
        <v>0</v>
      </c>
    </row>
    <row r="1442" spans="1:9" ht="18.600000000000001" x14ac:dyDescent="0.25">
      <c r="A1442" s="321" t="s">
        <v>452</v>
      </c>
      <c r="B1442" s="321" t="s">
        <v>118</v>
      </c>
      <c r="C1442" s="318" t="s">
        <v>85</v>
      </c>
      <c r="D1442">
        <v>19995</v>
      </c>
      <c r="E1442" s="143">
        <v>56881</v>
      </c>
      <c r="F1442" s="117">
        <v>1403</v>
      </c>
      <c r="G1442" s="321" t="s">
        <v>303</v>
      </c>
      <c r="H1442" s="144">
        <f>bargiri[[#This Row],[میزان بارگیری شده]]*bargiri[[#This Row],[فی]]</f>
        <v>1137335595</v>
      </c>
      <c r="I1442" s="321">
        <f>IF(year=bargiri[[#This Row],[سال]],1,0)</f>
        <v>0</v>
      </c>
    </row>
    <row r="1443" spans="1:9" ht="18.600000000000001" x14ac:dyDescent="0.25">
      <c r="A1443" s="321" t="s">
        <v>452</v>
      </c>
      <c r="B1443" s="321" t="s">
        <v>118</v>
      </c>
      <c r="C1443" s="318" t="s">
        <v>85</v>
      </c>
      <c r="D1443">
        <v>20040</v>
      </c>
      <c r="E1443" s="143">
        <v>56881</v>
      </c>
      <c r="F1443" s="117">
        <v>1403</v>
      </c>
      <c r="G1443" s="321" t="s">
        <v>303</v>
      </c>
      <c r="H1443" s="144">
        <f>bargiri[[#This Row],[میزان بارگیری شده]]*bargiri[[#This Row],[فی]]</f>
        <v>1139895240</v>
      </c>
      <c r="I1443" s="321">
        <f>IF(year=bargiri[[#This Row],[سال]],1,0)</f>
        <v>0</v>
      </c>
    </row>
    <row r="1444" spans="1:9" ht="18.600000000000001" x14ac:dyDescent="0.25">
      <c r="A1444" s="321" t="s">
        <v>452</v>
      </c>
      <c r="B1444" s="321" t="s">
        <v>118</v>
      </c>
      <c r="C1444" s="318" t="s">
        <v>85</v>
      </c>
      <c r="D1444">
        <v>20050</v>
      </c>
      <c r="E1444" s="143">
        <v>56881</v>
      </c>
      <c r="F1444" s="117">
        <v>1403</v>
      </c>
      <c r="G1444" s="321" t="s">
        <v>303</v>
      </c>
      <c r="H1444" s="144">
        <f>bargiri[[#This Row],[میزان بارگیری شده]]*bargiri[[#This Row],[فی]]</f>
        <v>1140464050</v>
      </c>
      <c r="I1444" s="321">
        <f>IF(year=bargiri[[#This Row],[سال]],1,0)</f>
        <v>0</v>
      </c>
    </row>
    <row r="1445" spans="1:9" ht="18.600000000000001" x14ac:dyDescent="0.25">
      <c r="A1445" s="321" t="s">
        <v>452</v>
      </c>
      <c r="B1445" s="321" t="s">
        <v>118</v>
      </c>
      <c r="C1445" s="318" t="s">
        <v>85</v>
      </c>
      <c r="D1445">
        <v>19995</v>
      </c>
      <c r="E1445" s="143">
        <v>56881</v>
      </c>
      <c r="F1445" s="117">
        <v>1403</v>
      </c>
      <c r="G1445" s="321" t="s">
        <v>303</v>
      </c>
      <c r="H1445" s="144">
        <f>bargiri[[#This Row],[میزان بارگیری شده]]*bargiri[[#This Row],[فی]]</f>
        <v>1137335595</v>
      </c>
      <c r="I1445" s="321">
        <f>IF(year=bargiri[[#This Row],[سال]],1,0)</f>
        <v>0</v>
      </c>
    </row>
    <row r="1446" spans="1:9" ht="18.600000000000001" hidden="1" x14ac:dyDescent="0.25">
      <c r="A1446" s="321" t="s">
        <v>466</v>
      </c>
      <c r="B1446" s="321" t="s">
        <v>115</v>
      </c>
      <c r="C1446" s="318" t="s">
        <v>65</v>
      </c>
      <c r="D1446">
        <v>20590</v>
      </c>
      <c r="E1446" s="143">
        <v>75000</v>
      </c>
      <c r="F1446" s="117">
        <v>1403</v>
      </c>
      <c r="G1446" s="321" t="s">
        <v>303</v>
      </c>
      <c r="H1446" s="144">
        <f>bargiri[[#This Row],[میزان بارگیری شده]]*bargiri[[#This Row],[فی]]</f>
        <v>1544250000</v>
      </c>
      <c r="I1446" s="321">
        <f>IF(year=bargiri[[#This Row],[سال]],1,0)</f>
        <v>0</v>
      </c>
    </row>
    <row r="1447" spans="1:9" ht="18.600000000000001" hidden="1" x14ac:dyDescent="0.25">
      <c r="A1447" s="321" t="s">
        <v>466</v>
      </c>
      <c r="B1447" s="321" t="s">
        <v>98</v>
      </c>
      <c r="C1447" s="318" t="s">
        <v>11</v>
      </c>
      <c r="D1447">
        <v>20390</v>
      </c>
      <c r="E1447" s="143">
        <v>77000</v>
      </c>
      <c r="F1447" s="117">
        <v>1403</v>
      </c>
      <c r="G1447" s="321" t="s">
        <v>303</v>
      </c>
      <c r="H1447" s="144">
        <f>bargiri[[#This Row],[میزان بارگیری شده]]*bargiri[[#This Row],[فی]]</f>
        <v>1570030000</v>
      </c>
      <c r="I1447" s="321">
        <f>IF(year=bargiri[[#This Row],[سال]],1,0)</f>
        <v>0</v>
      </c>
    </row>
    <row r="1448" spans="1:9" ht="18.600000000000001" hidden="1" x14ac:dyDescent="0.25">
      <c r="A1448" s="321" t="s">
        <v>466</v>
      </c>
      <c r="B1448" s="321" t="s">
        <v>116</v>
      </c>
      <c r="C1448" s="318" t="s">
        <v>77</v>
      </c>
      <c r="D1448">
        <v>19130</v>
      </c>
      <c r="E1448" s="143">
        <v>68500</v>
      </c>
      <c r="F1448" s="117">
        <v>1403</v>
      </c>
      <c r="G1448" s="321" t="s">
        <v>303</v>
      </c>
      <c r="H1448" s="144">
        <f>bargiri[[#This Row],[میزان بارگیری شده]]*bargiri[[#This Row],[فی]]</f>
        <v>1310405000</v>
      </c>
      <c r="I1448" s="321">
        <f>IF(year=bargiri[[#This Row],[سال]],1,0)</f>
        <v>0</v>
      </c>
    </row>
    <row r="1449" spans="1:9" ht="18.600000000000001" hidden="1" x14ac:dyDescent="0.25">
      <c r="A1449" s="321" t="s">
        <v>466</v>
      </c>
      <c r="B1449" s="321" t="s">
        <v>99</v>
      </c>
      <c r="C1449" s="318" t="s">
        <v>13</v>
      </c>
      <c r="D1449">
        <v>18050</v>
      </c>
      <c r="E1449" s="143">
        <v>65000</v>
      </c>
      <c r="F1449" s="117">
        <v>1403</v>
      </c>
      <c r="G1449" s="321" t="s">
        <v>303</v>
      </c>
      <c r="H1449" s="144">
        <f>bargiri[[#This Row],[میزان بارگیری شده]]*bargiri[[#This Row],[فی]]</f>
        <v>1173250000</v>
      </c>
      <c r="I1449" s="321">
        <f>IF(year=bargiri[[#This Row],[سال]],1,0)</f>
        <v>0</v>
      </c>
    </row>
    <row r="1450" spans="1:9" ht="18.600000000000001" hidden="1" x14ac:dyDescent="0.25">
      <c r="A1450" s="321" t="s">
        <v>136</v>
      </c>
      <c r="B1450" s="321" t="s">
        <v>99</v>
      </c>
      <c r="C1450" s="318" t="s">
        <v>13</v>
      </c>
      <c r="D1450">
        <v>18380</v>
      </c>
      <c r="E1450" s="143">
        <v>65000</v>
      </c>
      <c r="F1450" s="117">
        <v>1403</v>
      </c>
      <c r="G1450" s="321" t="s">
        <v>303</v>
      </c>
      <c r="H1450" s="144">
        <f>bargiri[[#This Row],[میزان بارگیری شده]]*bargiri[[#This Row],[فی]]</f>
        <v>1194700000</v>
      </c>
      <c r="I1450" s="321">
        <f>IF(year=bargiri[[#This Row],[سال]],1,0)</f>
        <v>0</v>
      </c>
    </row>
    <row r="1451" spans="1:9" ht="18.600000000000001" hidden="1" x14ac:dyDescent="0.25">
      <c r="A1451" s="321" t="s">
        <v>467</v>
      </c>
      <c r="B1451" s="321" t="s">
        <v>104</v>
      </c>
      <c r="C1451" s="318" t="s">
        <v>41</v>
      </c>
      <c r="D1451">
        <v>17060</v>
      </c>
      <c r="E1451" s="143">
        <v>85000</v>
      </c>
      <c r="F1451" s="117">
        <v>1403</v>
      </c>
      <c r="G1451" s="321" t="s">
        <v>303</v>
      </c>
      <c r="H1451" s="144">
        <f>bargiri[[#This Row],[میزان بارگیری شده]]*bargiri[[#This Row],[فی]]</f>
        <v>1450100000</v>
      </c>
      <c r="I1451" s="321">
        <f>IF(year=bargiri[[#This Row],[سال]],1,0)</f>
        <v>0</v>
      </c>
    </row>
    <row r="1452" spans="1:9" ht="18.600000000000001" hidden="1" x14ac:dyDescent="0.25">
      <c r="A1452" s="321" t="s">
        <v>467</v>
      </c>
      <c r="B1452" s="321" t="s">
        <v>102</v>
      </c>
      <c r="C1452" s="318" t="s">
        <v>26</v>
      </c>
      <c r="D1452">
        <v>10080</v>
      </c>
      <c r="E1452" s="143">
        <v>70000</v>
      </c>
      <c r="F1452" s="117">
        <v>1403</v>
      </c>
      <c r="G1452" s="321" t="s">
        <v>303</v>
      </c>
      <c r="H1452" s="144">
        <f>bargiri[[#This Row],[میزان بارگیری شده]]*bargiri[[#This Row],[فی]]</f>
        <v>705600000</v>
      </c>
      <c r="I1452" s="321">
        <f>IF(year=bargiri[[#This Row],[سال]],1,0)</f>
        <v>0</v>
      </c>
    </row>
    <row r="1453" spans="1:9" ht="18.600000000000001" hidden="1" x14ac:dyDescent="0.25">
      <c r="A1453" s="321" t="s">
        <v>467</v>
      </c>
      <c r="B1453" s="321" t="s">
        <v>108</v>
      </c>
      <c r="C1453" s="318" t="s">
        <v>53</v>
      </c>
      <c r="D1453">
        <v>11910</v>
      </c>
      <c r="E1453" s="143">
        <v>70000</v>
      </c>
      <c r="F1453" s="117">
        <v>1403</v>
      </c>
      <c r="G1453" s="321" t="s">
        <v>303</v>
      </c>
      <c r="H1453" s="144">
        <f>bargiri[[#This Row],[میزان بارگیری شده]]*bargiri[[#This Row],[فی]]</f>
        <v>833700000</v>
      </c>
      <c r="I1453" s="321">
        <f>IF(year=bargiri[[#This Row],[سال]],1,0)</f>
        <v>0</v>
      </c>
    </row>
    <row r="1454" spans="1:9" ht="18.600000000000001" hidden="1" x14ac:dyDescent="0.25">
      <c r="A1454" s="321" t="s">
        <v>467</v>
      </c>
      <c r="B1454" s="321" t="s">
        <v>115</v>
      </c>
      <c r="C1454" s="318" t="s">
        <v>65</v>
      </c>
      <c r="D1454">
        <v>21250</v>
      </c>
      <c r="E1454" s="143">
        <v>75000</v>
      </c>
      <c r="F1454" s="117">
        <v>1403</v>
      </c>
      <c r="G1454" s="321" t="s">
        <v>303</v>
      </c>
      <c r="H1454" s="144">
        <f>bargiri[[#This Row],[میزان بارگیری شده]]*bargiri[[#This Row],[فی]]</f>
        <v>1593750000</v>
      </c>
      <c r="I1454" s="321">
        <f>IF(year=bargiri[[#This Row],[سال]],1,0)</f>
        <v>0</v>
      </c>
    </row>
    <row r="1455" spans="1:9" ht="18.600000000000001" hidden="1" x14ac:dyDescent="0.25">
      <c r="A1455" s="321" t="s">
        <v>468</v>
      </c>
      <c r="B1455" s="321" t="s">
        <v>124</v>
      </c>
      <c r="C1455" s="318" t="s">
        <v>94</v>
      </c>
      <c r="D1455">
        <v>18180</v>
      </c>
      <c r="E1455" s="143">
        <v>70000</v>
      </c>
      <c r="F1455" s="117">
        <v>1403</v>
      </c>
      <c r="G1455" s="321" t="s">
        <v>303</v>
      </c>
      <c r="H1455" s="144">
        <f>bargiri[[#This Row],[میزان بارگیری شده]]*bargiri[[#This Row],[فی]]</f>
        <v>1272600000</v>
      </c>
      <c r="I1455" s="321">
        <f>IF(year=bargiri[[#This Row],[سال]],1,0)</f>
        <v>0</v>
      </c>
    </row>
    <row r="1456" spans="1:9" ht="18.600000000000001" hidden="1" x14ac:dyDescent="0.25">
      <c r="A1456" s="321" t="s">
        <v>468</v>
      </c>
      <c r="B1456" s="321" t="s">
        <v>102</v>
      </c>
      <c r="C1456" s="318" t="s">
        <v>26</v>
      </c>
      <c r="D1456">
        <v>10140</v>
      </c>
      <c r="E1456" s="143">
        <v>70000</v>
      </c>
      <c r="F1456" s="117">
        <v>1403</v>
      </c>
      <c r="G1456" s="321" t="s">
        <v>303</v>
      </c>
      <c r="H1456" s="144">
        <f>bargiri[[#This Row],[میزان بارگیری شده]]*bargiri[[#This Row],[فی]]</f>
        <v>709800000</v>
      </c>
      <c r="I1456" s="321">
        <f>IF(year=bargiri[[#This Row],[سال]],1,0)</f>
        <v>0</v>
      </c>
    </row>
    <row r="1457" spans="1:9" ht="18.600000000000001" hidden="1" x14ac:dyDescent="0.25">
      <c r="A1457" s="321" t="s">
        <v>468</v>
      </c>
      <c r="B1457" s="321" t="s">
        <v>116</v>
      </c>
      <c r="C1457" s="318" t="s">
        <v>77</v>
      </c>
      <c r="D1457">
        <v>19720</v>
      </c>
      <c r="E1457" s="143">
        <v>68500</v>
      </c>
      <c r="F1457" s="117">
        <v>1403</v>
      </c>
      <c r="G1457" s="321" t="s">
        <v>303</v>
      </c>
      <c r="H1457" s="144">
        <f>bargiri[[#This Row],[میزان بارگیری شده]]*bargiri[[#This Row],[فی]]</f>
        <v>1350820000</v>
      </c>
      <c r="I1457" s="321">
        <f>IF(year=bargiri[[#This Row],[سال]],1,0)</f>
        <v>0</v>
      </c>
    </row>
    <row r="1458" spans="1:9" ht="18.600000000000001" hidden="1" x14ac:dyDescent="0.25">
      <c r="A1458" s="321" t="s">
        <v>468</v>
      </c>
      <c r="B1458" s="321" t="s">
        <v>104</v>
      </c>
      <c r="C1458" s="318" t="s">
        <v>41</v>
      </c>
      <c r="D1458">
        <v>7870</v>
      </c>
      <c r="E1458" s="143">
        <v>85000</v>
      </c>
      <c r="F1458" s="117">
        <v>1403</v>
      </c>
      <c r="G1458" s="321" t="s">
        <v>303</v>
      </c>
      <c r="H1458" s="144">
        <f>bargiri[[#This Row],[میزان بارگیری شده]]*bargiri[[#This Row],[فی]]</f>
        <v>668950000</v>
      </c>
      <c r="I1458" s="321">
        <f>IF(year=bargiri[[#This Row],[سال]],1,0)</f>
        <v>0</v>
      </c>
    </row>
    <row r="1459" spans="1:9" ht="18.600000000000001" x14ac:dyDescent="0.25">
      <c r="A1459" s="321" t="s">
        <v>468</v>
      </c>
      <c r="B1459" s="321" t="s">
        <v>118</v>
      </c>
      <c r="C1459" s="318" t="s">
        <v>85</v>
      </c>
      <c r="D1459">
        <v>21060</v>
      </c>
      <c r="E1459" s="143">
        <v>56881</v>
      </c>
      <c r="F1459" s="117">
        <v>1403</v>
      </c>
      <c r="G1459" s="321" t="s">
        <v>303</v>
      </c>
      <c r="H1459" s="144">
        <f>bargiri[[#This Row],[میزان بارگیری شده]]*bargiri[[#This Row],[فی]]</f>
        <v>1197913860</v>
      </c>
      <c r="I1459" s="321">
        <f>IF(year=bargiri[[#This Row],[سال]],1,0)</f>
        <v>0</v>
      </c>
    </row>
    <row r="1460" spans="1:9" ht="18.600000000000001" x14ac:dyDescent="0.25">
      <c r="A1460" s="321" t="s">
        <v>468</v>
      </c>
      <c r="B1460" s="321" t="s">
        <v>118</v>
      </c>
      <c r="C1460" s="318" t="s">
        <v>85</v>
      </c>
      <c r="D1460">
        <v>20350</v>
      </c>
      <c r="E1460" s="143">
        <v>56881</v>
      </c>
      <c r="F1460" s="117">
        <v>1403</v>
      </c>
      <c r="G1460" s="321" t="s">
        <v>303</v>
      </c>
      <c r="H1460" s="144">
        <f>bargiri[[#This Row],[میزان بارگیری شده]]*bargiri[[#This Row],[فی]]</f>
        <v>1157528350</v>
      </c>
      <c r="I1460" s="321">
        <f>IF(year=bargiri[[#This Row],[سال]],1,0)</f>
        <v>0</v>
      </c>
    </row>
    <row r="1461" spans="1:9" ht="18.600000000000001" hidden="1" x14ac:dyDescent="0.25">
      <c r="A1461" s="321" t="s">
        <v>468</v>
      </c>
      <c r="B1461" s="321" t="s">
        <v>99</v>
      </c>
      <c r="C1461" s="318" t="s">
        <v>13</v>
      </c>
      <c r="D1461">
        <v>18400</v>
      </c>
      <c r="E1461" s="143">
        <v>65000</v>
      </c>
      <c r="F1461" s="117">
        <v>1403</v>
      </c>
      <c r="G1461" s="321" t="s">
        <v>303</v>
      </c>
      <c r="H1461" s="144">
        <f>bargiri[[#This Row],[میزان بارگیری شده]]*bargiri[[#This Row],[فی]]</f>
        <v>1196000000</v>
      </c>
      <c r="I1461" s="321">
        <f>IF(year=bargiri[[#This Row],[سال]],1,0)</f>
        <v>0</v>
      </c>
    </row>
    <row r="1462" spans="1:9" ht="18.600000000000001" hidden="1" x14ac:dyDescent="0.25">
      <c r="A1462" s="321" t="s">
        <v>231</v>
      </c>
      <c r="B1462" s="321" t="s">
        <v>126</v>
      </c>
      <c r="C1462" s="318" t="s">
        <v>97</v>
      </c>
      <c r="D1462">
        <v>9720</v>
      </c>
      <c r="E1462" s="143">
        <v>110000</v>
      </c>
      <c r="F1462" s="117">
        <v>1403</v>
      </c>
      <c r="G1462" s="321" t="s">
        <v>303</v>
      </c>
      <c r="H1462" s="144">
        <f>bargiri[[#This Row],[میزان بارگیری شده]]*bargiri[[#This Row],[فی]]</f>
        <v>1069200000</v>
      </c>
      <c r="I1462" s="321">
        <f>IF(year=bargiri[[#This Row],[سال]],1,0)</f>
        <v>0</v>
      </c>
    </row>
    <row r="1463" spans="1:9" ht="18.600000000000001" hidden="1" x14ac:dyDescent="0.25">
      <c r="A1463" s="321" t="s">
        <v>231</v>
      </c>
      <c r="B1463" s="321" t="s">
        <v>104</v>
      </c>
      <c r="C1463" s="318" t="s">
        <v>41</v>
      </c>
      <c r="D1463">
        <v>7070</v>
      </c>
      <c r="E1463" s="143">
        <v>85000</v>
      </c>
      <c r="F1463" s="117">
        <v>1403</v>
      </c>
      <c r="G1463" s="321" t="s">
        <v>303</v>
      </c>
      <c r="H1463" s="144">
        <f>bargiri[[#This Row],[میزان بارگیری شده]]*bargiri[[#This Row],[فی]]</f>
        <v>600950000</v>
      </c>
      <c r="I1463" s="321">
        <f>IF(year=bargiri[[#This Row],[سال]],1,0)</f>
        <v>0</v>
      </c>
    </row>
    <row r="1464" spans="1:9" ht="18.600000000000001" x14ac:dyDescent="0.25">
      <c r="A1464" s="321" t="s">
        <v>231</v>
      </c>
      <c r="B1464" s="321" t="s">
        <v>118</v>
      </c>
      <c r="C1464" s="318" t="s">
        <v>85</v>
      </c>
      <c r="D1464">
        <v>21020</v>
      </c>
      <c r="E1464" s="143">
        <v>56881</v>
      </c>
      <c r="F1464" s="117">
        <v>1403</v>
      </c>
      <c r="G1464" s="321" t="s">
        <v>303</v>
      </c>
      <c r="H1464" s="144">
        <f>bargiri[[#This Row],[میزان بارگیری شده]]*bargiri[[#This Row],[فی]]</f>
        <v>1195638620</v>
      </c>
      <c r="I1464" s="321">
        <f>IF(year=bargiri[[#This Row],[سال]],1,0)</f>
        <v>0</v>
      </c>
    </row>
    <row r="1465" spans="1:9" ht="18.600000000000001" x14ac:dyDescent="0.25">
      <c r="A1465" s="321" t="s">
        <v>231</v>
      </c>
      <c r="B1465" s="321" t="s">
        <v>118</v>
      </c>
      <c r="C1465" s="318" t="s">
        <v>85</v>
      </c>
      <c r="D1465">
        <v>21160</v>
      </c>
      <c r="E1465" s="143">
        <v>56881</v>
      </c>
      <c r="F1465" s="117">
        <v>1403</v>
      </c>
      <c r="G1465" s="321" t="s">
        <v>303</v>
      </c>
      <c r="H1465" s="144">
        <f>bargiri[[#This Row],[میزان بارگیری شده]]*bargiri[[#This Row],[فی]]</f>
        <v>1203601960</v>
      </c>
      <c r="I1465" s="321">
        <f>IF(year=bargiri[[#This Row],[سال]],1,0)</f>
        <v>0</v>
      </c>
    </row>
    <row r="1466" spans="1:9" ht="18.600000000000001" hidden="1" x14ac:dyDescent="0.25">
      <c r="A1466" s="321" t="s">
        <v>231</v>
      </c>
      <c r="B1466" s="321" t="s">
        <v>116</v>
      </c>
      <c r="C1466" s="318" t="s">
        <v>77</v>
      </c>
      <c r="D1466">
        <v>7920</v>
      </c>
      <c r="E1466" s="143">
        <v>68500</v>
      </c>
      <c r="F1466" s="117">
        <v>1403</v>
      </c>
      <c r="G1466" s="321" t="s">
        <v>303</v>
      </c>
      <c r="H1466" s="144">
        <f>bargiri[[#This Row],[میزان بارگیری شده]]*bargiri[[#This Row],[فی]]</f>
        <v>542520000</v>
      </c>
      <c r="I1466" s="321">
        <f>IF(year=bargiri[[#This Row],[سال]],1,0)</f>
        <v>0</v>
      </c>
    </row>
    <row r="1467" spans="1:9" ht="18.600000000000001" hidden="1" x14ac:dyDescent="0.25">
      <c r="A1467" s="321" t="s">
        <v>231</v>
      </c>
      <c r="B1467" s="321" t="s">
        <v>98</v>
      </c>
      <c r="C1467" s="318" t="s">
        <v>11</v>
      </c>
      <c r="D1467">
        <v>19860</v>
      </c>
      <c r="E1467" s="143">
        <v>77000</v>
      </c>
      <c r="F1467" s="117">
        <v>1403</v>
      </c>
      <c r="G1467" s="321" t="s">
        <v>303</v>
      </c>
      <c r="H1467" s="144">
        <f>bargiri[[#This Row],[میزان بارگیری شده]]*bargiri[[#This Row],[فی]]</f>
        <v>1529220000</v>
      </c>
      <c r="I1467" s="321">
        <f>IF(year=bargiri[[#This Row],[سال]],1,0)</f>
        <v>0</v>
      </c>
    </row>
    <row r="1468" spans="1:9" ht="18.600000000000001" hidden="1" x14ac:dyDescent="0.25">
      <c r="A1468" s="321" t="s">
        <v>231</v>
      </c>
      <c r="B1468" s="321" t="s">
        <v>116</v>
      </c>
      <c r="C1468" s="318" t="s">
        <v>77</v>
      </c>
      <c r="D1468">
        <v>20980</v>
      </c>
      <c r="E1468" s="143">
        <v>68500</v>
      </c>
      <c r="F1468" s="117">
        <v>1403</v>
      </c>
      <c r="G1468" s="321" t="s">
        <v>303</v>
      </c>
      <c r="H1468" s="144">
        <f>bargiri[[#This Row],[میزان بارگیری شده]]*bargiri[[#This Row],[فی]]</f>
        <v>1437130000</v>
      </c>
      <c r="I1468" s="321">
        <f>IF(year=bargiri[[#This Row],[سال]],1,0)</f>
        <v>0</v>
      </c>
    </row>
    <row r="1469" spans="1:9" ht="18.600000000000001" hidden="1" x14ac:dyDescent="0.25">
      <c r="A1469" s="321" t="s">
        <v>231</v>
      </c>
      <c r="B1469" s="321" t="s">
        <v>99</v>
      </c>
      <c r="C1469" s="318" t="s">
        <v>13</v>
      </c>
      <c r="D1469">
        <v>18160</v>
      </c>
      <c r="E1469" s="143">
        <v>65000</v>
      </c>
      <c r="F1469" s="117">
        <v>1403</v>
      </c>
      <c r="G1469" s="321" t="s">
        <v>303</v>
      </c>
      <c r="H1469" s="144">
        <f>bargiri[[#This Row],[میزان بارگیری شده]]*bargiri[[#This Row],[فی]]</f>
        <v>1180400000</v>
      </c>
      <c r="I1469" s="321">
        <f>IF(year=bargiri[[#This Row],[سال]],1,0)</f>
        <v>0</v>
      </c>
    </row>
    <row r="1470" spans="1:9" ht="18.600000000000001" hidden="1" x14ac:dyDescent="0.25">
      <c r="A1470" s="321" t="s">
        <v>461</v>
      </c>
      <c r="B1470" s="321" t="s">
        <v>115</v>
      </c>
      <c r="C1470" s="318" t="s">
        <v>65</v>
      </c>
      <c r="D1470">
        <v>22660</v>
      </c>
      <c r="E1470" s="143">
        <v>75000</v>
      </c>
      <c r="F1470" s="117">
        <v>1403</v>
      </c>
      <c r="G1470" s="321" t="s">
        <v>303</v>
      </c>
      <c r="H1470" s="144">
        <f>bargiri[[#This Row],[میزان بارگیری شده]]*bargiri[[#This Row],[فی]]</f>
        <v>1699500000</v>
      </c>
      <c r="I1470" s="321">
        <f>IF(year=bargiri[[#This Row],[سال]],1,0)</f>
        <v>0</v>
      </c>
    </row>
    <row r="1471" spans="1:9" ht="18.600000000000001" hidden="1" x14ac:dyDescent="0.25">
      <c r="A1471" s="321" t="s">
        <v>461</v>
      </c>
      <c r="B1471" s="321" t="s">
        <v>102</v>
      </c>
      <c r="C1471" s="318" t="s">
        <v>26</v>
      </c>
      <c r="D1471">
        <v>12680</v>
      </c>
      <c r="E1471" s="143">
        <v>70000</v>
      </c>
      <c r="F1471" s="117">
        <v>1403</v>
      </c>
      <c r="G1471" s="321" t="s">
        <v>303</v>
      </c>
      <c r="H1471" s="144">
        <f>bargiri[[#This Row],[میزان بارگیری شده]]*bargiri[[#This Row],[فی]]</f>
        <v>887600000</v>
      </c>
      <c r="I1471" s="321">
        <f>IF(year=bargiri[[#This Row],[سال]],1,0)</f>
        <v>0</v>
      </c>
    </row>
    <row r="1472" spans="1:9" ht="18.600000000000001" hidden="1" x14ac:dyDescent="0.25">
      <c r="A1472" s="321" t="s">
        <v>461</v>
      </c>
      <c r="B1472" s="321" t="s">
        <v>116</v>
      </c>
      <c r="C1472" s="318" t="s">
        <v>77</v>
      </c>
      <c r="D1472">
        <v>20840</v>
      </c>
      <c r="E1472" s="143">
        <v>68500</v>
      </c>
      <c r="F1472" s="117">
        <v>1403</v>
      </c>
      <c r="G1472" s="321" t="s">
        <v>303</v>
      </c>
      <c r="H1472" s="144">
        <f>bargiri[[#This Row],[میزان بارگیری شده]]*bargiri[[#This Row],[فی]]</f>
        <v>1427540000</v>
      </c>
      <c r="I1472" s="321">
        <f>IF(year=bargiri[[#This Row],[سال]],1,0)</f>
        <v>0</v>
      </c>
    </row>
    <row r="1473" spans="1:9" ht="18.600000000000001" hidden="1" x14ac:dyDescent="0.25">
      <c r="A1473" s="321" t="s">
        <v>461</v>
      </c>
      <c r="B1473" s="321" t="s">
        <v>117</v>
      </c>
      <c r="C1473" s="318" t="s">
        <v>82</v>
      </c>
      <c r="D1473">
        <v>19100</v>
      </c>
      <c r="E1473" s="143">
        <v>70000</v>
      </c>
      <c r="F1473" s="117">
        <v>1403</v>
      </c>
      <c r="G1473" s="321" t="s">
        <v>303</v>
      </c>
      <c r="H1473" s="144">
        <f>bargiri[[#This Row],[میزان بارگیری شده]]*bargiri[[#This Row],[فی]]</f>
        <v>1337000000</v>
      </c>
      <c r="I1473" s="321">
        <f>IF(year=bargiri[[#This Row],[سال]],1,0)</f>
        <v>0</v>
      </c>
    </row>
    <row r="1474" spans="1:9" ht="18.600000000000001" hidden="1" x14ac:dyDescent="0.25">
      <c r="A1474" s="321" t="s">
        <v>461</v>
      </c>
      <c r="B1474" s="321" t="s">
        <v>99</v>
      </c>
      <c r="C1474" s="318" t="s">
        <v>13</v>
      </c>
      <c r="D1474">
        <v>18450</v>
      </c>
      <c r="E1474" s="143">
        <v>65000</v>
      </c>
      <c r="F1474" s="117">
        <v>1403</v>
      </c>
      <c r="G1474" s="321" t="s">
        <v>303</v>
      </c>
      <c r="H1474" s="144">
        <f>bargiri[[#This Row],[میزان بارگیری شده]]*bargiri[[#This Row],[فی]]</f>
        <v>1199250000</v>
      </c>
      <c r="I1474" s="321">
        <f>IF(year=bargiri[[#This Row],[سال]],1,0)</f>
        <v>0</v>
      </c>
    </row>
    <row r="1475" spans="1:9" ht="18.600000000000001" hidden="1" x14ac:dyDescent="0.25">
      <c r="A1475" s="321" t="s">
        <v>461</v>
      </c>
      <c r="B1475" s="321" t="s">
        <v>104</v>
      </c>
      <c r="C1475" s="318" t="s">
        <v>41</v>
      </c>
      <c r="D1475">
        <v>18670</v>
      </c>
      <c r="E1475" s="143">
        <v>85000</v>
      </c>
      <c r="F1475" s="117">
        <v>1403</v>
      </c>
      <c r="G1475" s="321" t="s">
        <v>303</v>
      </c>
      <c r="H1475" s="144">
        <f>bargiri[[#This Row],[میزان بارگیری شده]]*bargiri[[#This Row],[فی]]</f>
        <v>1586950000</v>
      </c>
      <c r="I1475" s="321">
        <f>IF(year=bargiri[[#This Row],[سال]],1,0)</f>
        <v>0</v>
      </c>
    </row>
    <row r="1476" spans="1:9" ht="18.600000000000001" hidden="1" x14ac:dyDescent="0.25">
      <c r="A1476" s="321" t="s">
        <v>469</v>
      </c>
      <c r="B1476" s="321" t="s">
        <v>102</v>
      </c>
      <c r="C1476" s="318" t="s">
        <v>26</v>
      </c>
      <c r="D1476">
        <v>9810</v>
      </c>
      <c r="E1476" s="143">
        <v>70000</v>
      </c>
      <c r="F1476" s="117">
        <v>1403</v>
      </c>
      <c r="G1476" s="321" t="s">
        <v>303</v>
      </c>
      <c r="H1476" s="144">
        <f>bargiri[[#This Row],[میزان بارگیری شده]]*bargiri[[#This Row],[فی]]</f>
        <v>686700000</v>
      </c>
      <c r="I1476" s="321">
        <f>IF(year=bargiri[[#This Row],[سال]],1,0)</f>
        <v>0</v>
      </c>
    </row>
    <row r="1477" spans="1:9" ht="18.600000000000001" hidden="1" x14ac:dyDescent="0.25">
      <c r="A1477" s="321" t="s">
        <v>469</v>
      </c>
      <c r="B1477" s="321" t="s">
        <v>102</v>
      </c>
      <c r="C1477" s="318" t="s">
        <v>26</v>
      </c>
      <c r="D1477">
        <v>8290</v>
      </c>
      <c r="E1477" s="143">
        <v>70000</v>
      </c>
      <c r="F1477" s="117">
        <v>1403</v>
      </c>
      <c r="G1477" s="321" t="s">
        <v>303</v>
      </c>
      <c r="H1477" s="144">
        <f>bargiri[[#This Row],[میزان بارگیری شده]]*bargiri[[#This Row],[فی]]</f>
        <v>580300000</v>
      </c>
      <c r="I1477" s="321">
        <f>IF(year=bargiri[[#This Row],[سال]],1,0)</f>
        <v>0</v>
      </c>
    </row>
    <row r="1478" spans="1:9" ht="18.600000000000001" hidden="1" x14ac:dyDescent="0.25">
      <c r="A1478" s="321" t="s">
        <v>469</v>
      </c>
      <c r="B1478" s="321" t="s">
        <v>99</v>
      </c>
      <c r="C1478" s="318" t="s">
        <v>13</v>
      </c>
      <c r="D1478">
        <v>17700</v>
      </c>
      <c r="E1478" s="143">
        <v>65000</v>
      </c>
      <c r="F1478" s="117">
        <v>1403</v>
      </c>
      <c r="G1478" s="321" t="s">
        <v>303</v>
      </c>
      <c r="H1478" s="144">
        <f>bargiri[[#This Row],[میزان بارگیری شده]]*bargiri[[#This Row],[فی]]</f>
        <v>1150500000</v>
      </c>
      <c r="I1478" s="321">
        <f>IF(year=bargiri[[#This Row],[سال]],1,0)</f>
        <v>0</v>
      </c>
    </row>
    <row r="1479" spans="1:9" ht="18.600000000000001" x14ac:dyDescent="0.25">
      <c r="A1479" s="321" t="s">
        <v>470</v>
      </c>
      <c r="B1479" s="321" t="s">
        <v>118</v>
      </c>
      <c r="C1479" s="318" t="s">
        <v>85</v>
      </c>
      <c r="D1479">
        <v>20120</v>
      </c>
      <c r="E1479" s="143">
        <v>56881</v>
      </c>
      <c r="F1479" s="117">
        <v>1403</v>
      </c>
      <c r="G1479" s="321" t="s">
        <v>303</v>
      </c>
      <c r="H1479" s="144">
        <f>bargiri[[#This Row],[میزان بارگیری شده]]*bargiri[[#This Row],[فی]]</f>
        <v>1144445720</v>
      </c>
      <c r="I1479" s="321">
        <f>IF(year=bargiri[[#This Row],[سال]],1,0)</f>
        <v>0</v>
      </c>
    </row>
    <row r="1480" spans="1:9" ht="18.600000000000001" x14ac:dyDescent="0.25">
      <c r="A1480" s="321" t="s">
        <v>470</v>
      </c>
      <c r="B1480" s="321" t="s">
        <v>118</v>
      </c>
      <c r="C1480" s="318" t="s">
        <v>85</v>
      </c>
      <c r="D1480">
        <v>19810</v>
      </c>
      <c r="E1480" s="143">
        <v>56881</v>
      </c>
      <c r="F1480" s="117">
        <v>1403</v>
      </c>
      <c r="G1480" s="321" t="s">
        <v>303</v>
      </c>
      <c r="H1480" s="144">
        <f>bargiri[[#This Row],[میزان بارگیری شده]]*bargiri[[#This Row],[فی]]</f>
        <v>1126812610</v>
      </c>
      <c r="I1480" s="321">
        <f>IF(year=bargiri[[#This Row],[سال]],1,0)</f>
        <v>0</v>
      </c>
    </row>
    <row r="1481" spans="1:9" ht="18.600000000000001" x14ac:dyDescent="0.25">
      <c r="A1481" s="321" t="s">
        <v>470</v>
      </c>
      <c r="B1481" s="321" t="s">
        <v>118</v>
      </c>
      <c r="C1481" s="318" t="s">
        <v>85</v>
      </c>
      <c r="D1481">
        <v>19870</v>
      </c>
      <c r="E1481" s="143">
        <v>56881</v>
      </c>
      <c r="F1481" s="117">
        <v>1403</v>
      </c>
      <c r="G1481" s="321" t="s">
        <v>303</v>
      </c>
      <c r="H1481" s="144">
        <f>bargiri[[#This Row],[میزان بارگیری شده]]*bargiri[[#This Row],[فی]]</f>
        <v>1130225470</v>
      </c>
      <c r="I1481" s="321">
        <f>IF(year=bargiri[[#This Row],[سال]],1,0)</f>
        <v>0</v>
      </c>
    </row>
    <row r="1482" spans="1:9" ht="18.600000000000001" hidden="1" x14ac:dyDescent="0.25">
      <c r="A1482" s="321" t="s">
        <v>470</v>
      </c>
      <c r="B1482" s="321" t="s">
        <v>116</v>
      </c>
      <c r="C1482" s="318" t="s">
        <v>77</v>
      </c>
      <c r="D1482">
        <v>12120</v>
      </c>
      <c r="E1482" s="143">
        <v>68500</v>
      </c>
      <c r="F1482" s="117">
        <v>1403</v>
      </c>
      <c r="G1482" s="321" t="s">
        <v>303</v>
      </c>
      <c r="H1482" s="144">
        <f>bargiri[[#This Row],[میزان بارگیری شده]]*bargiri[[#This Row],[فی]]</f>
        <v>830220000</v>
      </c>
      <c r="I1482" s="321">
        <f>IF(year=bargiri[[#This Row],[سال]],1,0)</f>
        <v>0</v>
      </c>
    </row>
    <row r="1483" spans="1:9" ht="18.600000000000001" hidden="1" x14ac:dyDescent="0.25">
      <c r="A1483" s="321" t="s">
        <v>470</v>
      </c>
      <c r="B1483" s="321" t="s">
        <v>101</v>
      </c>
      <c r="C1483" s="318" t="s">
        <v>20</v>
      </c>
      <c r="D1483">
        <v>18160</v>
      </c>
      <c r="E1483" s="143">
        <v>68000</v>
      </c>
      <c r="F1483" s="117">
        <v>1403</v>
      </c>
      <c r="G1483" s="321" t="s">
        <v>303</v>
      </c>
      <c r="H1483" s="144">
        <f>bargiri[[#This Row],[میزان بارگیری شده]]*bargiri[[#This Row],[فی]]</f>
        <v>1234880000</v>
      </c>
      <c r="I1483" s="321">
        <f>IF(year=bargiri[[#This Row],[سال]],1,0)</f>
        <v>0</v>
      </c>
    </row>
    <row r="1484" spans="1:9" ht="18.600000000000001" hidden="1" x14ac:dyDescent="0.25">
      <c r="A1484" s="321" t="s">
        <v>470</v>
      </c>
      <c r="B1484" s="321" t="s">
        <v>104</v>
      </c>
      <c r="C1484" s="318" t="s">
        <v>41</v>
      </c>
      <c r="D1484">
        <v>18070</v>
      </c>
      <c r="E1484" s="143">
        <v>85000</v>
      </c>
      <c r="F1484" s="117">
        <v>1403</v>
      </c>
      <c r="G1484" s="321" t="s">
        <v>303</v>
      </c>
      <c r="H1484" s="144">
        <f>bargiri[[#This Row],[میزان بارگیری شده]]*bargiri[[#This Row],[فی]]</f>
        <v>1535950000</v>
      </c>
      <c r="I1484" s="321">
        <f>IF(year=bargiri[[#This Row],[سال]],1,0)</f>
        <v>0</v>
      </c>
    </row>
    <row r="1485" spans="1:9" ht="18.600000000000001" hidden="1" x14ac:dyDescent="0.25">
      <c r="A1485" s="321" t="s">
        <v>470</v>
      </c>
      <c r="B1485" s="321" t="s">
        <v>117</v>
      </c>
      <c r="C1485" s="318" t="s">
        <v>82</v>
      </c>
      <c r="D1485">
        <v>19970</v>
      </c>
      <c r="E1485" s="143">
        <v>70000</v>
      </c>
      <c r="F1485" s="117">
        <v>1403</v>
      </c>
      <c r="G1485" s="321" t="s">
        <v>303</v>
      </c>
      <c r="H1485" s="144">
        <f>bargiri[[#This Row],[میزان بارگیری شده]]*bargiri[[#This Row],[فی]]</f>
        <v>1397900000</v>
      </c>
      <c r="I1485" s="321">
        <f>IF(year=bargiri[[#This Row],[سال]],1,0)</f>
        <v>0</v>
      </c>
    </row>
    <row r="1486" spans="1:9" ht="18.600000000000001" hidden="1" x14ac:dyDescent="0.25">
      <c r="A1486" s="321" t="s">
        <v>222</v>
      </c>
      <c r="B1486" s="321" t="s">
        <v>115</v>
      </c>
      <c r="C1486" s="318" t="s">
        <v>66</v>
      </c>
      <c r="D1486">
        <v>24080</v>
      </c>
      <c r="E1486" s="143">
        <v>45000</v>
      </c>
      <c r="F1486" s="117">
        <v>1403</v>
      </c>
      <c r="G1486" s="321" t="s">
        <v>305</v>
      </c>
      <c r="H1486" s="144">
        <f>bargiri[[#This Row],[میزان بارگیری شده]]*bargiri[[#This Row],[فی]]</f>
        <v>1083600000</v>
      </c>
      <c r="I1486" s="321">
        <f>IF(year=bargiri[[#This Row],[سال]],1,0)</f>
        <v>0</v>
      </c>
    </row>
    <row r="1487" spans="1:9" ht="18.600000000000001" hidden="1" x14ac:dyDescent="0.25">
      <c r="A1487" s="321" t="s">
        <v>156</v>
      </c>
      <c r="B1487" s="321" t="s">
        <v>124</v>
      </c>
      <c r="C1487" s="318" t="s">
        <v>94</v>
      </c>
      <c r="D1487">
        <v>21100</v>
      </c>
      <c r="E1487" s="143">
        <v>70000</v>
      </c>
      <c r="F1487" s="117">
        <v>1403</v>
      </c>
      <c r="G1487" s="321" t="s">
        <v>304</v>
      </c>
      <c r="H1487" s="144">
        <f>bargiri[[#This Row],[میزان بارگیری شده]]*bargiri[[#This Row],[فی]]</f>
        <v>1477000000</v>
      </c>
      <c r="I1487" s="321">
        <f>IF(year=bargiri[[#This Row],[سال]],1,0)</f>
        <v>0</v>
      </c>
    </row>
    <row r="1488" spans="1:9" ht="18.600000000000001" hidden="1" x14ac:dyDescent="0.25">
      <c r="A1488" s="321" t="s">
        <v>200</v>
      </c>
      <c r="B1488" s="321" t="s">
        <v>124</v>
      </c>
      <c r="C1488" s="318" t="s">
        <v>94</v>
      </c>
      <c r="D1488">
        <v>22080</v>
      </c>
      <c r="E1488" s="143">
        <v>70000</v>
      </c>
      <c r="F1488" s="117">
        <v>1403</v>
      </c>
      <c r="G1488" s="321" t="s">
        <v>311</v>
      </c>
      <c r="H1488" s="144">
        <f>bargiri[[#This Row],[میزان بارگیری شده]]*bargiri[[#This Row],[فی]]</f>
        <v>1545600000</v>
      </c>
      <c r="I1488" s="321">
        <f>IF(year=bargiri[[#This Row],[سال]],1,0)</f>
        <v>0</v>
      </c>
    </row>
    <row r="1489" spans="1:9" ht="18.600000000000001" hidden="1" x14ac:dyDescent="0.25">
      <c r="A1489" s="321" t="s">
        <v>199</v>
      </c>
      <c r="B1489" s="321" t="s">
        <v>124</v>
      </c>
      <c r="C1489" s="318" t="s">
        <v>94</v>
      </c>
      <c r="D1489">
        <v>21950</v>
      </c>
      <c r="E1489" s="143">
        <v>70000</v>
      </c>
      <c r="F1489" s="117">
        <v>1403</v>
      </c>
      <c r="G1489" s="321" t="s">
        <v>304</v>
      </c>
      <c r="H1489" s="144">
        <f>bargiri[[#This Row],[میزان بارگیری شده]]*bargiri[[#This Row],[فی]]</f>
        <v>1536500000</v>
      </c>
      <c r="I1489" s="321">
        <f>IF(year=bargiri[[#This Row],[سال]],1,0)</f>
        <v>0</v>
      </c>
    </row>
    <row r="1490" spans="1:9" ht="18.600000000000001" hidden="1" x14ac:dyDescent="0.25">
      <c r="A1490" s="321" t="s">
        <v>465</v>
      </c>
      <c r="B1490" s="321" t="s">
        <v>115</v>
      </c>
      <c r="C1490" s="318" t="s">
        <v>66</v>
      </c>
      <c r="D1490">
        <v>24050</v>
      </c>
      <c r="E1490" s="143">
        <v>45000</v>
      </c>
      <c r="F1490" s="117">
        <v>1403</v>
      </c>
      <c r="G1490" s="321" t="s">
        <v>304</v>
      </c>
      <c r="H1490" s="144">
        <f>bargiri[[#This Row],[میزان بارگیری شده]]*bargiri[[#This Row],[فی]]</f>
        <v>1082250000</v>
      </c>
      <c r="I1490" s="321">
        <f>IF(year=bargiri[[#This Row],[سال]],1,0)</f>
        <v>0</v>
      </c>
    </row>
    <row r="1491" spans="1:9" ht="18.600000000000001" hidden="1" x14ac:dyDescent="0.25">
      <c r="A1491" s="321" t="s">
        <v>471</v>
      </c>
      <c r="B1491" s="321" t="s">
        <v>124</v>
      </c>
      <c r="C1491" s="318" t="s">
        <v>94</v>
      </c>
      <c r="D1491">
        <v>20130</v>
      </c>
      <c r="E1491" s="143">
        <v>70000</v>
      </c>
      <c r="F1491" s="117">
        <v>1403</v>
      </c>
      <c r="G1491" s="321" t="s">
        <v>303</v>
      </c>
      <c r="H1491" s="144">
        <f>bargiri[[#This Row],[میزان بارگیری شده]]*bargiri[[#This Row],[فی]]</f>
        <v>1409100000</v>
      </c>
      <c r="I1491" s="321">
        <f>IF(year=bargiri[[#This Row],[سال]],1,0)</f>
        <v>0</v>
      </c>
    </row>
    <row r="1492" spans="1:9" ht="18.600000000000001" hidden="1" x14ac:dyDescent="0.25">
      <c r="A1492" s="321" t="s">
        <v>471</v>
      </c>
      <c r="B1492" s="321" t="s">
        <v>106</v>
      </c>
      <c r="C1492" s="318" t="s">
        <v>49</v>
      </c>
      <c r="D1492">
        <v>5410</v>
      </c>
      <c r="E1492" s="143">
        <v>50000</v>
      </c>
      <c r="F1492" s="117">
        <v>1403</v>
      </c>
      <c r="G1492" s="321" t="s">
        <v>303</v>
      </c>
      <c r="H1492" s="144">
        <f>bargiri[[#This Row],[میزان بارگیری شده]]*bargiri[[#This Row],[فی]]</f>
        <v>270500000</v>
      </c>
      <c r="I1492" s="321">
        <f>IF(year=bargiri[[#This Row],[سال]],1,0)</f>
        <v>0</v>
      </c>
    </row>
    <row r="1493" spans="1:9" ht="18.600000000000001" hidden="1" x14ac:dyDescent="0.25">
      <c r="A1493" s="321" t="s">
        <v>471</v>
      </c>
      <c r="B1493" s="321" t="s">
        <v>115</v>
      </c>
      <c r="C1493" s="318" t="s">
        <v>65</v>
      </c>
      <c r="D1493">
        <v>20180</v>
      </c>
      <c r="E1493" s="143">
        <v>75000</v>
      </c>
      <c r="F1493" s="117">
        <v>1403</v>
      </c>
      <c r="G1493" s="321" t="s">
        <v>303</v>
      </c>
      <c r="H1493" s="144">
        <f>bargiri[[#This Row],[میزان بارگیری شده]]*bargiri[[#This Row],[فی]]</f>
        <v>1513500000</v>
      </c>
      <c r="I1493" s="321">
        <f>IF(year=bargiri[[#This Row],[سال]],1,0)</f>
        <v>0</v>
      </c>
    </row>
    <row r="1494" spans="1:9" ht="18.600000000000001" hidden="1" x14ac:dyDescent="0.25">
      <c r="A1494" s="321" t="s">
        <v>385</v>
      </c>
      <c r="B1494" s="321" t="s">
        <v>104</v>
      </c>
      <c r="C1494" s="318" t="s">
        <v>41</v>
      </c>
      <c r="D1494">
        <v>18290</v>
      </c>
      <c r="E1494" s="143">
        <v>85000</v>
      </c>
      <c r="F1494" s="117">
        <v>1403</v>
      </c>
      <c r="G1494" s="321" t="s">
        <v>304</v>
      </c>
      <c r="H1494" s="144">
        <f>bargiri[[#This Row],[میزان بارگیری شده]]*bargiri[[#This Row],[فی]]</f>
        <v>1554650000</v>
      </c>
      <c r="I1494" s="321">
        <f>IF(year=bargiri[[#This Row],[سال]],1,0)</f>
        <v>0</v>
      </c>
    </row>
    <row r="1495" spans="1:9" ht="18.600000000000001" hidden="1" x14ac:dyDescent="0.25">
      <c r="A1495" s="321" t="s">
        <v>385</v>
      </c>
      <c r="B1495" s="321" t="s">
        <v>116</v>
      </c>
      <c r="C1495" s="318" t="s">
        <v>77</v>
      </c>
      <c r="D1495">
        <v>20960</v>
      </c>
      <c r="E1495" s="143">
        <v>68500</v>
      </c>
      <c r="F1495" s="117">
        <v>1403</v>
      </c>
      <c r="G1495" s="321" t="s">
        <v>304</v>
      </c>
      <c r="H1495" s="144">
        <f>bargiri[[#This Row],[میزان بارگیری شده]]*bargiri[[#This Row],[فی]]</f>
        <v>1435760000</v>
      </c>
      <c r="I1495" s="321">
        <f>IF(year=bargiri[[#This Row],[سال]],1,0)</f>
        <v>0</v>
      </c>
    </row>
    <row r="1496" spans="1:9" ht="18.600000000000001" hidden="1" x14ac:dyDescent="0.25">
      <c r="A1496" s="321" t="s">
        <v>385</v>
      </c>
      <c r="B1496" s="321" t="s">
        <v>106</v>
      </c>
      <c r="C1496" s="318" t="s">
        <v>49</v>
      </c>
      <c r="D1496">
        <v>19080</v>
      </c>
      <c r="E1496" s="143">
        <v>50000</v>
      </c>
      <c r="F1496" s="117">
        <v>1403</v>
      </c>
      <c r="G1496" s="321" t="s">
        <v>304</v>
      </c>
      <c r="H1496" s="144">
        <f>bargiri[[#This Row],[میزان بارگیری شده]]*bargiri[[#This Row],[فی]]</f>
        <v>954000000</v>
      </c>
      <c r="I1496" s="321">
        <f>IF(year=bargiri[[#This Row],[سال]],1,0)</f>
        <v>0</v>
      </c>
    </row>
    <row r="1497" spans="1:9" ht="18.600000000000001" hidden="1" x14ac:dyDescent="0.25">
      <c r="A1497" s="321" t="s">
        <v>385</v>
      </c>
      <c r="B1497" s="321" t="s">
        <v>99</v>
      </c>
      <c r="C1497" s="318" t="s">
        <v>13</v>
      </c>
      <c r="D1497">
        <v>18510</v>
      </c>
      <c r="E1497" s="143">
        <v>65000</v>
      </c>
      <c r="F1497" s="117">
        <v>1403</v>
      </c>
      <c r="G1497" s="321" t="s">
        <v>304</v>
      </c>
      <c r="H1497" s="144">
        <f>bargiri[[#This Row],[میزان بارگیری شده]]*bargiri[[#This Row],[فی]]</f>
        <v>1203150000</v>
      </c>
      <c r="I1497" s="321">
        <f>IF(year=bargiri[[#This Row],[سال]],1,0)</f>
        <v>0</v>
      </c>
    </row>
    <row r="1498" spans="1:9" ht="18.600000000000001" hidden="1" x14ac:dyDescent="0.25">
      <c r="A1498" s="321" t="s">
        <v>215</v>
      </c>
      <c r="B1498" s="321" t="s">
        <v>102</v>
      </c>
      <c r="C1498" s="318" t="s">
        <v>26</v>
      </c>
      <c r="D1498">
        <v>11900</v>
      </c>
      <c r="E1498" s="143">
        <v>70000</v>
      </c>
      <c r="F1498" s="117">
        <v>1403</v>
      </c>
      <c r="G1498" s="321" t="s">
        <v>304</v>
      </c>
      <c r="H1498" s="144">
        <f>bargiri[[#This Row],[میزان بارگیری شده]]*bargiri[[#This Row],[فی]]</f>
        <v>833000000</v>
      </c>
      <c r="I1498" s="321">
        <f>IF(year=bargiri[[#This Row],[سال]],1,0)</f>
        <v>0</v>
      </c>
    </row>
    <row r="1499" spans="1:9" ht="18.600000000000001" hidden="1" x14ac:dyDescent="0.25">
      <c r="A1499" s="321" t="s">
        <v>215</v>
      </c>
      <c r="B1499" s="321" t="s">
        <v>116</v>
      </c>
      <c r="C1499" s="318" t="s">
        <v>77</v>
      </c>
      <c r="D1499">
        <v>19930</v>
      </c>
      <c r="E1499" s="143">
        <v>68500</v>
      </c>
      <c r="F1499" s="117">
        <v>1403</v>
      </c>
      <c r="G1499" s="321" t="s">
        <v>304</v>
      </c>
      <c r="H1499" s="144">
        <f>bargiri[[#This Row],[میزان بارگیری شده]]*bargiri[[#This Row],[فی]]</f>
        <v>1365205000</v>
      </c>
      <c r="I1499" s="321">
        <f>IF(year=bargiri[[#This Row],[سال]],1,0)</f>
        <v>0</v>
      </c>
    </row>
    <row r="1500" spans="1:9" ht="18.600000000000001" hidden="1" x14ac:dyDescent="0.25">
      <c r="A1500" s="321" t="s">
        <v>215</v>
      </c>
      <c r="B1500" s="321" t="s">
        <v>116</v>
      </c>
      <c r="C1500" s="318" t="s">
        <v>77</v>
      </c>
      <c r="D1500">
        <v>12100</v>
      </c>
      <c r="E1500" s="143">
        <v>68500</v>
      </c>
      <c r="F1500" s="117">
        <v>1403</v>
      </c>
      <c r="G1500" s="321" t="s">
        <v>304</v>
      </c>
      <c r="H1500" s="144">
        <f>bargiri[[#This Row],[میزان بارگیری شده]]*bargiri[[#This Row],[فی]]</f>
        <v>828850000</v>
      </c>
      <c r="I1500" s="321">
        <f>IF(year=bargiri[[#This Row],[سال]],1,0)</f>
        <v>0</v>
      </c>
    </row>
    <row r="1501" spans="1:9" ht="18.600000000000001" hidden="1" x14ac:dyDescent="0.25">
      <c r="A1501" s="321" t="s">
        <v>215</v>
      </c>
      <c r="B1501" s="321" t="s">
        <v>98</v>
      </c>
      <c r="C1501" s="318" t="s">
        <v>11</v>
      </c>
      <c r="D1501">
        <v>20250</v>
      </c>
      <c r="E1501" s="143">
        <v>77000</v>
      </c>
      <c r="F1501" s="117">
        <v>1403</v>
      </c>
      <c r="G1501" s="321" t="s">
        <v>304</v>
      </c>
      <c r="H1501" s="144">
        <f>bargiri[[#This Row],[میزان بارگیری شده]]*bargiri[[#This Row],[فی]]</f>
        <v>1559250000</v>
      </c>
      <c r="I1501" s="321">
        <f>IF(year=bargiri[[#This Row],[سال]],1,0)</f>
        <v>0</v>
      </c>
    </row>
    <row r="1502" spans="1:9" ht="18.600000000000001" hidden="1" x14ac:dyDescent="0.25">
      <c r="A1502" s="321" t="s">
        <v>215</v>
      </c>
      <c r="B1502" s="321" t="s">
        <v>108</v>
      </c>
      <c r="C1502" s="318" t="s">
        <v>53</v>
      </c>
      <c r="D1502">
        <v>20070</v>
      </c>
      <c r="E1502" s="143">
        <v>70000</v>
      </c>
      <c r="F1502" s="117">
        <v>1403</v>
      </c>
      <c r="G1502" s="321" t="s">
        <v>304</v>
      </c>
      <c r="H1502" s="144">
        <f>bargiri[[#This Row],[میزان بارگیری شده]]*bargiri[[#This Row],[فی]]</f>
        <v>1404900000</v>
      </c>
      <c r="I1502" s="321">
        <f>IF(year=bargiri[[#This Row],[سال]],1,0)</f>
        <v>0</v>
      </c>
    </row>
    <row r="1503" spans="1:9" ht="18.600000000000001" hidden="1" x14ac:dyDescent="0.25">
      <c r="A1503" s="321" t="s">
        <v>215</v>
      </c>
      <c r="B1503" s="321" t="s">
        <v>104</v>
      </c>
      <c r="C1503" s="318" t="s">
        <v>41</v>
      </c>
      <c r="D1503">
        <v>18120</v>
      </c>
      <c r="E1503" s="143">
        <v>85000</v>
      </c>
      <c r="F1503" s="117">
        <v>1403</v>
      </c>
      <c r="G1503" s="321" t="s">
        <v>304</v>
      </c>
      <c r="H1503" s="144">
        <f>bargiri[[#This Row],[میزان بارگیری شده]]*bargiri[[#This Row],[فی]]</f>
        <v>1540200000</v>
      </c>
      <c r="I1503" s="321">
        <f>IF(year=bargiri[[#This Row],[سال]],1,0)</f>
        <v>0</v>
      </c>
    </row>
    <row r="1504" spans="1:9" ht="18.600000000000001" hidden="1" x14ac:dyDescent="0.25">
      <c r="A1504" s="321" t="s">
        <v>215</v>
      </c>
      <c r="B1504" s="321" t="s">
        <v>99</v>
      </c>
      <c r="C1504" s="318" t="s">
        <v>13</v>
      </c>
      <c r="D1504">
        <v>18540</v>
      </c>
      <c r="E1504" s="143">
        <v>65000</v>
      </c>
      <c r="F1504" s="117">
        <v>1403</v>
      </c>
      <c r="G1504" s="321" t="s">
        <v>304</v>
      </c>
      <c r="H1504" s="144">
        <f>bargiri[[#This Row],[میزان بارگیری شده]]*bargiri[[#This Row],[فی]]</f>
        <v>1205100000</v>
      </c>
      <c r="I1504" s="321">
        <f>IF(year=bargiri[[#This Row],[سال]],1,0)</f>
        <v>0</v>
      </c>
    </row>
    <row r="1505" spans="1:9" ht="18.600000000000001" hidden="1" x14ac:dyDescent="0.25">
      <c r="A1505" s="321" t="s">
        <v>193</v>
      </c>
      <c r="B1505" s="321" t="s">
        <v>99</v>
      </c>
      <c r="C1505" s="318" t="s">
        <v>13</v>
      </c>
      <c r="D1505">
        <v>17730</v>
      </c>
      <c r="E1505" s="143">
        <v>65000</v>
      </c>
      <c r="F1505" s="117">
        <v>1403</v>
      </c>
      <c r="G1505" s="321" t="s">
        <v>304</v>
      </c>
      <c r="H1505" s="144">
        <f>bargiri[[#This Row],[میزان بارگیری شده]]*bargiri[[#This Row],[فی]]</f>
        <v>1152450000</v>
      </c>
      <c r="I1505" s="321">
        <f>IF(year=bargiri[[#This Row],[سال]],1,0)</f>
        <v>0</v>
      </c>
    </row>
    <row r="1506" spans="1:9" ht="18.600000000000001" hidden="1" x14ac:dyDescent="0.25">
      <c r="A1506" s="321" t="s">
        <v>193</v>
      </c>
      <c r="B1506" s="321" t="s">
        <v>116</v>
      </c>
      <c r="C1506" s="318" t="s">
        <v>77</v>
      </c>
      <c r="D1506">
        <v>21020</v>
      </c>
      <c r="E1506" s="143">
        <v>68500</v>
      </c>
      <c r="F1506" s="117">
        <v>1403</v>
      </c>
      <c r="G1506" s="321" t="s">
        <v>304</v>
      </c>
      <c r="H1506" s="144">
        <f>bargiri[[#This Row],[میزان بارگیری شده]]*bargiri[[#This Row],[فی]]</f>
        <v>1439870000</v>
      </c>
      <c r="I1506" s="321">
        <f>IF(year=bargiri[[#This Row],[سال]],1,0)</f>
        <v>0</v>
      </c>
    </row>
    <row r="1507" spans="1:9" ht="18.600000000000001" hidden="1" x14ac:dyDescent="0.25">
      <c r="A1507" s="321" t="s">
        <v>193</v>
      </c>
      <c r="B1507" s="321" t="s">
        <v>116</v>
      </c>
      <c r="C1507" s="318" t="s">
        <v>77</v>
      </c>
      <c r="D1507">
        <v>11950</v>
      </c>
      <c r="E1507" s="143">
        <v>68500</v>
      </c>
      <c r="F1507" s="117">
        <v>1403</v>
      </c>
      <c r="G1507" s="321" t="s">
        <v>304</v>
      </c>
      <c r="H1507" s="144">
        <f>bargiri[[#This Row],[میزان بارگیری شده]]*bargiri[[#This Row],[فی]]</f>
        <v>818575000</v>
      </c>
      <c r="I1507" s="321">
        <f>IF(year=bargiri[[#This Row],[سال]],1,0)</f>
        <v>0</v>
      </c>
    </row>
    <row r="1508" spans="1:9" ht="18.600000000000001" hidden="1" x14ac:dyDescent="0.25">
      <c r="A1508" s="321" t="s">
        <v>193</v>
      </c>
      <c r="B1508" s="321" t="s">
        <v>106</v>
      </c>
      <c r="C1508" s="318" t="s">
        <v>49</v>
      </c>
      <c r="D1508">
        <v>20950</v>
      </c>
      <c r="E1508" s="143">
        <v>50000</v>
      </c>
      <c r="F1508" s="117">
        <v>1403</v>
      </c>
      <c r="G1508" s="321" t="s">
        <v>304</v>
      </c>
      <c r="H1508" s="144">
        <f>bargiri[[#This Row],[میزان بارگیری شده]]*bargiri[[#This Row],[فی]]</f>
        <v>1047500000</v>
      </c>
      <c r="I1508" s="321">
        <f>IF(year=bargiri[[#This Row],[سال]],1,0)</f>
        <v>0</v>
      </c>
    </row>
    <row r="1509" spans="1:9" ht="18.600000000000001" hidden="1" x14ac:dyDescent="0.25">
      <c r="A1509" s="321" t="s">
        <v>193</v>
      </c>
      <c r="B1509" s="321" t="s">
        <v>104</v>
      </c>
      <c r="C1509" s="318" t="s">
        <v>41</v>
      </c>
      <c r="D1509">
        <v>7990</v>
      </c>
      <c r="E1509" s="143">
        <v>85000</v>
      </c>
      <c r="F1509" s="117">
        <v>1403</v>
      </c>
      <c r="G1509" s="321" t="s">
        <v>304</v>
      </c>
      <c r="H1509" s="144">
        <f>bargiri[[#This Row],[میزان بارگیری شده]]*bargiri[[#This Row],[فی]]</f>
        <v>679150000</v>
      </c>
      <c r="I1509" s="321">
        <f>IF(year=bargiri[[#This Row],[سال]],1,0)</f>
        <v>0</v>
      </c>
    </row>
    <row r="1510" spans="1:9" ht="18.600000000000001" x14ac:dyDescent="0.25">
      <c r="A1510" s="321" t="s">
        <v>193</v>
      </c>
      <c r="B1510" s="321" t="s">
        <v>118</v>
      </c>
      <c r="C1510" s="318" t="s">
        <v>85</v>
      </c>
      <c r="D1510">
        <v>20950</v>
      </c>
      <c r="E1510" s="143">
        <v>56881</v>
      </c>
      <c r="F1510" s="117">
        <v>1403</v>
      </c>
      <c r="G1510" s="321" t="s">
        <v>304</v>
      </c>
      <c r="H1510" s="144">
        <f>bargiri[[#This Row],[میزان بارگیری شده]]*bargiri[[#This Row],[فی]]</f>
        <v>1191656950</v>
      </c>
      <c r="I1510" s="321">
        <f>IF(year=bargiri[[#This Row],[سال]],1,0)</f>
        <v>0</v>
      </c>
    </row>
    <row r="1511" spans="1:9" ht="18.600000000000001" x14ac:dyDescent="0.25">
      <c r="A1511" s="321" t="s">
        <v>193</v>
      </c>
      <c r="B1511" s="321" t="s">
        <v>118</v>
      </c>
      <c r="C1511" s="318" t="s">
        <v>85</v>
      </c>
      <c r="D1511">
        <v>21310</v>
      </c>
      <c r="E1511" s="143">
        <v>56881</v>
      </c>
      <c r="F1511" s="117">
        <v>1403</v>
      </c>
      <c r="G1511" s="321" t="s">
        <v>304</v>
      </c>
      <c r="H1511" s="144">
        <f>bargiri[[#This Row],[میزان بارگیری شده]]*bargiri[[#This Row],[فی]]</f>
        <v>1212134110</v>
      </c>
      <c r="I1511" s="321">
        <f>IF(year=bargiri[[#This Row],[سال]],1,0)</f>
        <v>0</v>
      </c>
    </row>
    <row r="1512" spans="1:9" ht="18.600000000000001" x14ac:dyDescent="0.25">
      <c r="A1512" s="321" t="s">
        <v>193</v>
      </c>
      <c r="B1512" s="321" t="s">
        <v>118</v>
      </c>
      <c r="C1512" s="318" t="s">
        <v>85</v>
      </c>
      <c r="D1512">
        <v>20910</v>
      </c>
      <c r="E1512" s="143">
        <v>56881</v>
      </c>
      <c r="F1512" s="117">
        <v>1403</v>
      </c>
      <c r="G1512" s="321" t="s">
        <v>304</v>
      </c>
      <c r="H1512" s="144">
        <f>bargiri[[#This Row],[میزان بارگیری شده]]*bargiri[[#This Row],[فی]]</f>
        <v>1189381710</v>
      </c>
      <c r="I1512" s="321">
        <f>IF(year=bargiri[[#This Row],[سال]],1,0)</f>
        <v>0</v>
      </c>
    </row>
    <row r="1513" spans="1:9" ht="18.600000000000001" hidden="1" x14ac:dyDescent="0.25">
      <c r="A1513" s="321" t="s">
        <v>193</v>
      </c>
      <c r="B1513" s="321" t="s">
        <v>101</v>
      </c>
      <c r="C1513" s="318" t="s">
        <v>21</v>
      </c>
      <c r="D1513">
        <v>20330</v>
      </c>
      <c r="E1513" s="143">
        <v>68000</v>
      </c>
      <c r="F1513" s="117">
        <v>1403</v>
      </c>
      <c r="G1513" s="321" t="s">
        <v>304</v>
      </c>
      <c r="H1513" s="144">
        <f>bargiri[[#This Row],[میزان بارگیری شده]]*bargiri[[#This Row],[فی]]</f>
        <v>1382440000</v>
      </c>
      <c r="I1513" s="321">
        <f>IF(year=bargiri[[#This Row],[سال]],1,0)</f>
        <v>0</v>
      </c>
    </row>
    <row r="1514" spans="1:9" ht="18.600000000000001" hidden="1" x14ac:dyDescent="0.25">
      <c r="A1514" s="321" t="s">
        <v>193</v>
      </c>
      <c r="B1514" s="321" t="s">
        <v>101</v>
      </c>
      <c r="C1514" s="318" t="s">
        <v>20</v>
      </c>
      <c r="D1514">
        <v>1890</v>
      </c>
      <c r="E1514" s="143">
        <v>68000</v>
      </c>
      <c r="F1514" s="117">
        <v>1403</v>
      </c>
      <c r="G1514" s="321" t="s">
        <v>304</v>
      </c>
      <c r="H1514" s="144">
        <f>bargiri[[#This Row],[میزان بارگیری شده]]*bargiri[[#This Row],[فی]]</f>
        <v>128520000</v>
      </c>
      <c r="I1514" s="321">
        <f>IF(year=bargiri[[#This Row],[سال]],1,0)</f>
        <v>0</v>
      </c>
    </row>
    <row r="1515" spans="1:9" ht="18.600000000000001" hidden="1" x14ac:dyDescent="0.25">
      <c r="A1515" s="321" t="s">
        <v>193</v>
      </c>
      <c r="B1515" s="321" t="s">
        <v>116</v>
      </c>
      <c r="C1515" s="318" t="s">
        <v>77</v>
      </c>
      <c r="D1515">
        <v>22140</v>
      </c>
      <c r="E1515" s="143">
        <v>68500</v>
      </c>
      <c r="F1515" s="117">
        <v>1403</v>
      </c>
      <c r="G1515" s="321" t="s">
        <v>304</v>
      </c>
      <c r="H1515" s="144">
        <f>bargiri[[#This Row],[میزان بارگیری شده]]*bargiri[[#This Row],[فی]]</f>
        <v>1516590000</v>
      </c>
      <c r="I1515" s="321">
        <f>IF(year=bargiri[[#This Row],[سال]],1,0)</f>
        <v>0</v>
      </c>
    </row>
    <row r="1516" spans="1:9" ht="18.600000000000001" hidden="1" x14ac:dyDescent="0.25">
      <c r="A1516" s="321" t="s">
        <v>472</v>
      </c>
      <c r="B1516" s="321" t="s">
        <v>102</v>
      </c>
      <c r="C1516" s="318" t="s">
        <v>26</v>
      </c>
      <c r="D1516">
        <v>9100</v>
      </c>
      <c r="E1516" s="143">
        <v>70000</v>
      </c>
      <c r="F1516" s="117">
        <v>1403</v>
      </c>
      <c r="G1516" s="321" t="s">
        <v>304</v>
      </c>
      <c r="H1516" s="144">
        <f>bargiri[[#This Row],[میزان بارگیری شده]]*bargiri[[#This Row],[فی]]</f>
        <v>637000000</v>
      </c>
      <c r="I1516" s="321">
        <f>IF(year=bargiri[[#This Row],[سال]],1,0)</f>
        <v>0</v>
      </c>
    </row>
    <row r="1517" spans="1:9" ht="18.600000000000001" hidden="1" x14ac:dyDescent="0.25">
      <c r="A1517" s="321" t="s">
        <v>472</v>
      </c>
      <c r="B1517" s="321" t="s">
        <v>117</v>
      </c>
      <c r="C1517" s="318" t="s">
        <v>82</v>
      </c>
      <c r="D1517">
        <v>19960</v>
      </c>
      <c r="E1517" s="143">
        <v>70000</v>
      </c>
      <c r="F1517" s="117">
        <v>1403</v>
      </c>
      <c r="G1517" s="321" t="s">
        <v>304</v>
      </c>
      <c r="H1517" s="144">
        <f>bargiri[[#This Row],[میزان بارگیری شده]]*bargiri[[#This Row],[فی]]</f>
        <v>1397200000</v>
      </c>
      <c r="I1517" s="321">
        <f>IF(year=bargiri[[#This Row],[سال]],1,0)</f>
        <v>0</v>
      </c>
    </row>
    <row r="1518" spans="1:9" ht="18.600000000000001" hidden="1" x14ac:dyDescent="0.25">
      <c r="A1518" s="321" t="s">
        <v>463</v>
      </c>
      <c r="B1518" s="321" t="s">
        <v>104</v>
      </c>
      <c r="C1518" s="318" t="s">
        <v>41</v>
      </c>
      <c r="D1518">
        <v>18180</v>
      </c>
      <c r="E1518" s="143">
        <v>85000</v>
      </c>
      <c r="F1518" s="117">
        <v>1403</v>
      </c>
      <c r="G1518" s="321" t="s">
        <v>304</v>
      </c>
      <c r="H1518" s="144">
        <f>bargiri[[#This Row],[میزان بارگیری شده]]*bargiri[[#This Row],[فی]]</f>
        <v>1545300000</v>
      </c>
      <c r="I1518" s="321">
        <f>IF(year=bargiri[[#This Row],[سال]],1,0)</f>
        <v>0</v>
      </c>
    </row>
    <row r="1519" spans="1:9" ht="18.600000000000001" hidden="1" x14ac:dyDescent="0.25">
      <c r="A1519" s="321" t="s">
        <v>210</v>
      </c>
      <c r="B1519" s="321" t="s">
        <v>104</v>
      </c>
      <c r="C1519" s="318" t="s">
        <v>42</v>
      </c>
      <c r="D1519">
        <v>19890</v>
      </c>
      <c r="E1519" s="143">
        <v>75000</v>
      </c>
      <c r="F1519" s="117">
        <v>1403</v>
      </c>
      <c r="G1519" s="321" t="s">
        <v>304</v>
      </c>
      <c r="H1519" s="144">
        <f>bargiri[[#This Row],[میزان بارگیری شده]]*bargiri[[#This Row],[فی]]</f>
        <v>1491750000</v>
      </c>
      <c r="I1519" s="321">
        <f>IF(year=bargiri[[#This Row],[سال]],1,0)</f>
        <v>0</v>
      </c>
    </row>
    <row r="1520" spans="1:9" ht="18.600000000000001" hidden="1" x14ac:dyDescent="0.25">
      <c r="A1520" s="321" t="s">
        <v>226</v>
      </c>
      <c r="B1520" s="321" t="s">
        <v>104</v>
      </c>
      <c r="C1520" s="318" t="s">
        <v>42</v>
      </c>
      <c r="D1520">
        <v>18130</v>
      </c>
      <c r="E1520" s="143">
        <v>75000</v>
      </c>
      <c r="F1520" s="117">
        <v>1403</v>
      </c>
      <c r="G1520" s="321" t="s">
        <v>304</v>
      </c>
      <c r="H1520" s="144">
        <f>bargiri[[#This Row],[میزان بارگیری شده]]*bargiri[[#This Row],[فی]]</f>
        <v>1359750000</v>
      </c>
      <c r="I1520" s="321">
        <f>IF(year=bargiri[[#This Row],[سال]],1,0)</f>
        <v>0</v>
      </c>
    </row>
    <row r="1521" spans="1:9" ht="18.600000000000001" hidden="1" x14ac:dyDescent="0.25">
      <c r="A1521" s="321" t="s">
        <v>194</v>
      </c>
      <c r="B1521" s="321" t="s">
        <v>104</v>
      </c>
      <c r="C1521" s="318" t="s">
        <v>42</v>
      </c>
      <c r="D1521">
        <v>19580</v>
      </c>
      <c r="E1521" s="143">
        <v>75000</v>
      </c>
      <c r="F1521" s="117">
        <v>1403</v>
      </c>
      <c r="G1521" s="321" t="s">
        <v>304</v>
      </c>
      <c r="H1521" s="144">
        <f>bargiri[[#This Row],[میزان بارگیری شده]]*bargiri[[#This Row],[فی]]</f>
        <v>1468500000</v>
      </c>
      <c r="I1521" s="321">
        <f>IF(year=bargiri[[#This Row],[سال]],1,0)</f>
        <v>0</v>
      </c>
    </row>
    <row r="1522" spans="1:9" ht="18.600000000000001" hidden="1" x14ac:dyDescent="0.25">
      <c r="A1522" s="321" t="s">
        <v>199</v>
      </c>
      <c r="B1522" s="321" t="s">
        <v>104</v>
      </c>
      <c r="C1522" s="318" t="s">
        <v>42</v>
      </c>
      <c r="D1522">
        <v>18260</v>
      </c>
      <c r="E1522" s="143">
        <v>75000</v>
      </c>
      <c r="F1522" s="117">
        <v>1403</v>
      </c>
      <c r="G1522" s="321" t="s">
        <v>304</v>
      </c>
      <c r="H1522" s="144">
        <f>bargiri[[#This Row],[میزان بارگیری شده]]*bargiri[[#This Row],[فی]]</f>
        <v>1369500000</v>
      </c>
      <c r="I1522" s="321">
        <f>IF(year=bargiri[[#This Row],[سال]],1,0)</f>
        <v>0</v>
      </c>
    </row>
    <row r="1523" spans="1:9" ht="18.600000000000001" hidden="1" x14ac:dyDescent="0.25">
      <c r="A1523" s="321" t="s">
        <v>202</v>
      </c>
      <c r="B1523" s="321" t="s">
        <v>104</v>
      </c>
      <c r="C1523" s="318" t="s">
        <v>42</v>
      </c>
      <c r="D1523">
        <v>18230</v>
      </c>
      <c r="E1523" s="143">
        <v>75000</v>
      </c>
      <c r="F1523" s="117">
        <v>1403</v>
      </c>
      <c r="G1523" s="321" t="s">
        <v>304</v>
      </c>
      <c r="H1523" s="144">
        <f>bargiri[[#This Row],[میزان بارگیری شده]]*bargiri[[#This Row],[فی]]</f>
        <v>1367250000</v>
      </c>
      <c r="I1523" s="321">
        <f>IF(year=bargiri[[#This Row],[سال]],1,0)</f>
        <v>0</v>
      </c>
    </row>
    <row r="1524" spans="1:9" ht="18.600000000000001" hidden="1" x14ac:dyDescent="0.25">
      <c r="A1524" s="321" t="s">
        <v>472</v>
      </c>
      <c r="B1524" s="321" t="s">
        <v>124</v>
      </c>
      <c r="C1524" s="318" t="s">
        <v>94</v>
      </c>
      <c r="D1524">
        <v>21210</v>
      </c>
      <c r="E1524" s="143">
        <v>70000</v>
      </c>
      <c r="F1524" s="117">
        <v>1403</v>
      </c>
      <c r="G1524" s="321" t="s">
        <v>304</v>
      </c>
      <c r="H1524" s="144">
        <f>bargiri[[#This Row],[میزان بارگیری شده]]*bargiri[[#This Row],[فی]]</f>
        <v>1484700000</v>
      </c>
      <c r="I1524" s="321">
        <f>IF(year=bargiri[[#This Row],[سال]],1,0)</f>
        <v>0</v>
      </c>
    </row>
    <row r="1525" spans="1:9" ht="18.600000000000001" hidden="1" x14ac:dyDescent="0.25">
      <c r="A1525" s="321" t="s">
        <v>472</v>
      </c>
      <c r="B1525" s="321" t="s">
        <v>116</v>
      </c>
      <c r="C1525" s="318" t="s">
        <v>77</v>
      </c>
      <c r="D1525">
        <v>21350</v>
      </c>
      <c r="E1525" s="143">
        <v>68500</v>
      </c>
      <c r="F1525" s="117">
        <v>1403</v>
      </c>
      <c r="G1525" s="321" t="s">
        <v>304</v>
      </c>
      <c r="H1525" s="144">
        <f>bargiri[[#This Row],[میزان بارگیری شده]]*bargiri[[#This Row],[فی]]</f>
        <v>1462475000</v>
      </c>
      <c r="I1525" s="321">
        <f>IF(year=bargiri[[#This Row],[سال]],1,0)</f>
        <v>0</v>
      </c>
    </row>
    <row r="1526" spans="1:9" ht="18.600000000000001" hidden="1" x14ac:dyDescent="0.25">
      <c r="A1526" s="321" t="s">
        <v>463</v>
      </c>
      <c r="B1526" s="321" t="s">
        <v>99</v>
      </c>
      <c r="C1526" s="318" t="s">
        <v>13</v>
      </c>
      <c r="D1526">
        <v>18650</v>
      </c>
      <c r="E1526" s="143">
        <v>65000</v>
      </c>
      <c r="F1526" s="117">
        <v>1403</v>
      </c>
      <c r="G1526" s="321" t="s">
        <v>304</v>
      </c>
      <c r="H1526" s="144">
        <f>bargiri[[#This Row],[میزان بارگیری شده]]*bargiri[[#This Row],[فی]]</f>
        <v>1212250000</v>
      </c>
      <c r="I1526" s="321">
        <f>IF(year=bargiri[[#This Row],[سال]],1,0)</f>
        <v>0</v>
      </c>
    </row>
    <row r="1527" spans="1:9" ht="18.600000000000001" hidden="1" x14ac:dyDescent="0.25">
      <c r="A1527" s="321" t="s">
        <v>463</v>
      </c>
      <c r="B1527" s="321" t="s">
        <v>98</v>
      </c>
      <c r="C1527" s="318" t="s">
        <v>11</v>
      </c>
      <c r="D1527">
        <v>21290</v>
      </c>
      <c r="E1527" s="143">
        <v>77000</v>
      </c>
      <c r="F1527" s="117">
        <v>1403</v>
      </c>
      <c r="G1527" s="321" t="s">
        <v>304</v>
      </c>
      <c r="H1527" s="144">
        <f>bargiri[[#This Row],[میزان بارگیری شده]]*bargiri[[#This Row],[فی]]</f>
        <v>1639330000</v>
      </c>
      <c r="I1527" s="321">
        <f>IF(year=bargiri[[#This Row],[سال]],1,0)</f>
        <v>0</v>
      </c>
    </row>
    <row r="1528" spans="1:9" ht="18.600000000000001" hidden="1" x14ac:dyDescent="0.25">
      <c r="A1528" s="321" t="s">
        <v>463</v>
      </c>
      <c r="B1528" s="321" t="s">
        <v>115</v>
      </c>
      <c r="C1528" s="318" t="s">
        <v>66</v>
      </c>
      <c r="D1528">
        <v>21000</v>
      </c>
      <c r="E1528" s="143">
        <v>45000</v>
      </c>
      <c r="F1528" s="117">
        <v>1403</v>
      </c>
      <c r="G1528" s="321" t="s">
        <v>304</v>
      </c>
      <c r="H1528" s="144">
        <f>bargiri[[#This Row],[میزان بارگیری شده]]*bargiri[[#This Row],[فی]]</f>
        <v>945000000</v>
      </c>
      <c r="I1528" s="321">
        <f>IF(year=bargiri[[#This Row],[سال]],1,0)</f>
        <v>0</v>
      </c>
    </row>
    <row r="1529" spans="1:9" ht="18.600000000000001" hidden="1" x14ac:dyDescent="0.25">
      <c r="A1529" s="321" t="s">
        <v>463</v>
      </c>
      <c r="B1529" s="321" t="s">
        <v>116</v>
      </c>
      <c r="C1529" s="318" t="s">
        <v>77</v>
      </c>
      <c r="D1529">
        <v>20400</v>
      </c>
      <c r="E1529" s="143">
        <v>68500</v>
      </c>
      <c r="F1529" s="117">
        <v>1403</v>
      </c>
      <c r="G1529" s="321" t="s">
        <v>304</v>
      </c>
      <c r="H1529" s="144">
        <f>bargiri[[#This Row],[میزان بارگیری شده]]*bargiri[[#This Row],[فی]]</f>
        <v>1397400000</v>
      </c>
      <c r="I1529" s="321">
        <f>IF(year=bargiri[[#This Row],[سال]],1,0)</f>
        <v>0</v>
      </c>
    </row>
    <row r="1530" spans="1:9" ht="18.600000000000001" hidden="1" x14ac:dyDescent="0.25">
      <c r="A1530" s="321" t="s">
        <v>168</v>
      </c>
      <c r="B1530" s="321" t="s">
        <v>102</v>
      </c>
      <c r="C1530" s="318" t="s">
        <v>26</v>
      </c>
      <c r="D1530">
        <v>11580</v>
      </c>
      <c r="E1530" s="143">
        <v>70000</v>
      </c>
      <c r="F1530" s="117">
        <v>1403</v>
      </c>
      <c r="G1530" s="321" t="s">
        <v>304</v>
      </c>
      <c r="H1530" s="144">
        <f>bargiri[[#This Row],[میزان بارگیری شده]]*bargiri[[#This Row],[فی]]</f>
        <v>810600000</v>
      </c>
      <c r="I1530" s="321">
        <f>IF(year=bargiri[[#This Row],[سال]],1,0)</f>
        <v>0</v>
      </c>
    </row>
    <row r="1531" spans="1:9" ht="18.600000000000001" x14ac:dyDescent="0.25">
      <c r="A1531" s="321" t="s">
        <v>168</v>
      </c>
      <c r="B1531" s="321" t="s">
        <v>118</v>
      </c>
      <c r="C1531" s="318" t="s">
        <v>85</v>
      </c>
      <c r="D1531">
        <v>19850</v>
      </c>
      <c r="E1531" s="143">
        <v>56881</v>
      </c>
      <c r="F1531" s="117">
        <v>1403</v>
      </c>
      <c r="G1531" s="321" t="s">
        <v>304</v>
      </c>
      <c r="H1531" s="144">
        <f>bargiri[[#This Row],[میزان بارگیری شده]]*bargiri[[#This Row],[فی]]</f>
        <v>1129087850</v>
      </c>
      <c r="I1531" s="321">
        <f>IF(year=bargiri[[#This Row],[سال]],1,0)</f>
        <v>0</v>
      </c>
    </row>
    <row r="1532" spans="1:9" ht="18.600000000000001" x14ac:dyDescent="0.25">
      <c r="A1532" s="321" t="s">
        <v>168</v>
      </c>
      <c r="B1532" s="321" t="s">
        <v>118</v>
      </c>
      <c r="C1532" s="318" t="s">
        <v>85</v>
      </c>
      <c r="D1532">
        <v>20300</v>
      </c>
      <c r="E1532" s="143">
        <v>56881</v>
      </c>
      <c r="F1532" s="117">
        <v>1403</v>
      </c>
      <c r="G1532" s="321" t="s">
        <v>304</v>
      </c>
      <c r="H1532" s="144">
        <f>bargiri[[#This Row],[میزان بارگیری شده]]*bargiri[[#This Row],[فی]]</f>
        <v>1154684300</v>
      </c>
      <c r="I1532" s="321">
        <f>IF(year=bargiri[[#This Row],[سال]],1,0)</f>
        <v>0</v>
      </c>
    </row>
    <row r="1533" spans="1:9" ht="18.600000000000001" x14ac:dyDescent="0.25">
      <c r="A1533" s="321" t="s">
        <v>168</v>
      </c>
      <c r="B1533" s="321" t="s">
        <v>118</v>
      </c>
      <c r="C1533" s="318" t="s">
        <v>85</v>
      </c>
      <c r="D1533">
        <v>20400</v>
      </c>
      <c r="E1533" s="143">
        <v>56881</v>
      </c>
      <c r="F1533" s="117">
        <v>1403</v>
      </c>
      <c r="G1533" s="321" t="s">
        <v>304</v>
      </c>
      <c r="H1533" s="144">
        <f>bargiri[[#This Row],[میزان بارگیری شده]]*bargiri[[#This Row],[فی]]</f>
        <v>1160372400</v>
      </c>
      <c r="I1533" s="321">
        <f>IF(year=bargiri[[#This Row],[سال]],1,0)</f>
        <v>0</v>
      </c>
    </row>
    <row r="1534" spans="1:9" ht="18.600000000000001" hidden="1" x14ac:dyDescent="0.25">
      <c r="A1534" s="321" t="s">
        <v>168</v>
      </c>
      <c r="B1534" s="321" t="s">
        <v>101</v>
      </c>
      <c r="C1534" s="318" t="s">
        <v>21</v>
      </c>
      <c r="D1534">
        <v>6120</v>
      </c>
      <c r="E1534" s="143">
        <v>68000</v>
      </c>
      <c r="F1534" s="117">
        <v>1403</v>
      </c>
      <c r="G1534" s="321" t="s">
        <v>304</v>
      </c>
      <c r="H1534" s="144">
        <f>bargiri[[#This Row],[میزان بارگیری شده]]*bargiri[[#This Row],[فی]]</f>
        <v>416160000</v>
      </c>
      <c r="I1534" s="321">
        <f>IF(year=bargiri[[#This Row],[سال]],1,0)</f>
        <v>0</v>
      </c>
    </row>
    <row r="1535" spans="1:9" ht="18.600000000000001" x14ac:dyDescent="0.25">
      <c r="A1535" s="321" t="s">
        <v>168</v>
      </c>
      <c r="B1535" s="321" t="s">
        <v>118</v>
      </c>
      <c r="C1535" s="318" t="s">
        <v>85</v>
      </c>
      <c r="D1535">
        <v>20430</v>
      </c>
      <c r="E1535" s="143">
        <v>56881</v>
      </c>
      <c r="F1535" s="117">
        <v>1403</v>
      </c>
      <c r="G1535" s="321" t="s">
        <v>304</v>
      </c>
      <c r="H1535" s="144">
        <f>bargiri[[#This Row],[میزان بارگیری شده]]*bargiri[[#This Row],[فی]]</f>
        <v>1162078830</v>
      </c>
      <c r="I1535" s="321">
        <f>IF(year=bargiri[[#This Row],[سال]],1,0)</f>
        <v>0</v>
      </c>
    </row>
    <row r="1536" spans="1:9" ht="18.600000000000001" hidden="1" x14ac:dyDescent="0.25">
      <c r="A1536" s="321" t="s">
        <v>168</v>
      </c>
      <c r="B1536" s="321" t="s">
        <v>116</v>
      </c>
      <c r="C1536" s="318" t="s">
        <v>77</v>
      </c>
      <c r="D1536">
        <v>20020</v>
      </c>
      <c r="E1536" s="143">
        <v>68500</v>
      </c>
      <c r="F1536" s="117">
        <v>1403</v>
      </c>
      <c r="G1536" s="321" t="s">
        <v>304</v>
      </c>
      <c r="H1536" s="144">
        <f>bargiri[[#This Row],[میزان بارگیری شده]]*bargiri[[#This Row],[فی]]</f>
        <v>1371370000</v>
      </c>
      <c r="I1536" s="321">
        <f>IF(year=bargiri[[#This Row],[سال]],1,0)</f>
        <v>0</v>
      </c>
    </row>
    <row r="1537" spans="1:9" ht="18.600000000000001" x14ac:dyDescent="0.25">
      <c r="A1537" s="321" t="s">
        <v>168</v>
      </c>
      <c r="B1537" s="321" t="s">
        <v>118</v>
      </c>
      <c r="C1537" s="318" t="s">
        <v>85</v>
      </c>
      <c r="D1537">
        <v>20550</v>
      </c>
      <c r="E1537" s="143">
        <v>56881</v>
      </c>
      <c r="F1537" s="117">
        <v>1403</v>
      </c>
      <c r="G1537" s="321" t="s">
        <v>304</v>
      </c>
      <c r="H1537" s="144">
        <f>bargiri[[#This Row],[میزان بارگیری شده]]*bargiri[[#This Row],[فی]]</f>
        <v>1168904550</v>
      </c>
      <c r="I1537" s="321">
        <f>IF(year=bargiri[[#This Row],[سال]],1,0)</f>
        <v>0</v>
      </c>
    </row>
    <row r="1538" spans="1:9" ht="18.600000000000001" hidden="1" x14ac:dyDescent="0.25">
      <c r="A1538" s="321" t="s">
        <v>168</v>
      </c>
      <c r="B1538" s="321" t="s">
        <v>99</v>
      </c>
      <c r="C1538" s="318" t="s">
        <v>13</v>
      </c>
      <c r="D1538">
        <v>18430</v>
      </c>
      <c r="E1538" s="143">
        <v>65000</v>
      </c>
      <c r="F1538" s="117">
        <v>1403</v>
      </c>
      <c r="G1538" s="321" t="s">
        <v>304</v>
      </c>
      <c r="H1538" s="144">
        <f>bargiri[[#This Row],[میزان بارگیری شده]]*bargiri[[#This Row],[فی]]</f>
        <v>1197950000</v>
      </c>
      <c r="I1538" s="321">
        <f>IF(year=bargiri[[#This Row],[سال]],1,0)</f>
        <v>0</v>
      </c>
    </row>
    <row r="1539" spans="1:9" ht="18.600000000000001" hidden="1" x14ac:dyDescent="0.25">
      <c r="A1539" s="321" t="s">
        <v>168</v>
      </c>
      <c r="B1539" s="321" t="s">
        <v>98</v>
      </c>
      <c r="C1539" s="318" t="s">
        <v>9</v>
      </c>
      <c r="D1539">
        <v>23160</v>
      </c>
      <c r="E1539" s="143">
        <v>105000</v>
      </c>
      <c r="F1539" s="117">
        <v>1403</v>
      </c>
      <c r="G1539" s="321" t="s">
        <v>304</v>
      </c>
      <c r="H1539" s="144">
        <f>bargiri[[#This Row],[میزان بارگیری شده]]*bargiri[[#This Row],[فی]]</f>
        <v>2431800000</v>
      </c>
      <c r="I1539" s="321">
        <f>IF(year=bargiri[[#This Row],[سال]],1,0)</f>
        <v>0</v>
      </c>
    </row>
    <row r="1540" spans="1:9" ht="18.600000000000001" hidden="1" x14ac:dyDescent="0.25">
      <c r="A1540" s="321" t="s">
        <v>137</v>
      </c>
      <c r="B1540" s="321" t="s">
        <v>116</v>
      </c>
      <c r="C1540" s="318" t="s">
        <v>77</v>
      </c>
      <c r="D1540">
        <v>20120</v>
      </c>
      <c r="E1540" s="143">
        <v>68500</v>
      </c>
      <c r="F1540" s="117">
        <v>1403</v>
      </c>
      <c r="G1540" s="321" t="s">
        <v>304</v>
      </c>
      <c r="H1540" s="144">
        <f>bargiri[[#This Row],[میزان بارگیری شده]]*bargiri[[#This Row],[فی]]</f>
        <v>1378220000</v>
      </c>
      <c r="I1540" s="321">
        <f>IF(year=bargiri[[#This Row],[سال]],1,0)</f>
        <v>0</v>
      </c>
    </row>
    <row r="1541" spans="1:9" ht="18.600000000000001" hidden="1" x14ac:dyDescent="0.25">
      <c r="A1541" s="321" t="s">
        <v>137</v>
      </c>
      <c r="B1541" s="321" t="s">
        <v>99</v>
      </c>
      <c r="C1541" s="318" t="s">
        <v>13</v>
      </c>
      <c r="D1541">
        <v>18370</v>
      </c>
      <c r="E1541" s="143">
        <v>65000</v>
      </c>
      <c r="F1541" s="117">
        <v>1403</v>
      </c>
      <c r="G1541" s="321" t="s">
        <v>304</v>
      </c>
      <c r="H1541" s="144">
        <f>bargiri[[#This Row],[میزان بارگیری شده]]*bargiri[[#This Row],[فی]]</f>
        <v>1194050000</v>
      </c>
      <c r="I1541" s="321">
        <f>IF(year=bargiri[[#This Row],[سال]],1,0)</f>
        <v>0</v>
      </c>
    </row>
    <row r="1542" spans="1:9" ht="18.600000000000001" hidden="1" x14ac:dyDescent="0.25">
      <c r="A1542" s="321" t="s">
        <v>156</v>
      </c>
      <c r="B1542" s="321" t="s">
        <v>102</v>
      </c>
      <c r="C1542" s="318" t="s">
        <v>26</v>
      </c>
      <c r="D1542">
        <v>10130</v>
      </c>
      <c r="E1542" s="143">
        <v>70000</v>
      </c>
      <c r="F1542" s="117">
        <v>1403</v>
      </c>
      <c r="G1542" s="321" t="s">
        <v>304</v>
      </c>
      <c r="H1542" s="144">
        <f>bargiri[[#This Row],[میزان بارگیری شده]]*bargiri[[#This Row],[فی]]</f>
        <v>709100000</v>
      </c>
      <c r="I1542" s="321">
        <f>IF(year=bargiri[[#This Row],[سال]],1,0)</f>
        <v>0</v>
      </c>
    </row>
    <row r="1543" spans="1:9" ht="18.600000000000001" hidden="1" x14ac:dyDescent="0.25">
      <c r="A1543" s="321" t="s">
        <v>156</v>
      </c>
      <c r="B1543" s="321" t="s">
        <v>116</v>
      </c>
      <c r="C1543" s="318" t="s">
        <v>77</v>
      </c>
      <c r="D1543">
        <v>20630</v>
      </c>
      <c r="E1543" s="143">
        <v>68500</v>
      </c>
      <c r="F1543" s="117">
        <v>1403</v>
      </c>
      <c r="G1543" s="321" t="s">
        <v>304</v>
      </c>
      <c r="H1543" s="144">
        <f>bargiri[[#This Row],[میزان بارگیری شده]]*bargiri[[#This Row],[فی]]</f>
        <v>1413155000</v>
      </c>
      <c r="I1543" s="321">
        <f>IF(year=bargiri[[#This Row],[سال]],1,0)</f>
        <v>0</v>
      </c>
    </row>
    <row r="1544" spans="1:9" ht="18.600000000000001" hidden="1" x14ac:dyDescent="0.25">
      <c r="A1544" s="321" t="s">
        <v>473</v>
      </c>
      <c r="B1544" s="321" t="s">
        <v>116</v>
      </c>
      <c r="C1544" s="318" t="s">
        <v>77</v>
      </c>
      <c r="D1544">
        <v>20270</v>
      </c>
      <c r="E1544" s="143">
        <v>68500</v>
      </c>
      <c r="F1544" s="117">
        <v>1403</v>
      </c>
      <c r="G1544" s="321" t="s">
        <v>304</v>
      </c>
      <c r="H1544" s="144">
        <f>bargiri[[#This Row],[میزان بارگیری شده]]*bargiri[[#This Row],[فی]]</f>
        <v>1388495000</v>
      </c>
      <c r="I1544" s="321">
        <f>IF(year=bargiri[[#This Row],[سال]],1,0)</f>
        <v>0</v>
      </c>
    </row>
    <row r="1545" spans="1:9" ht="18.600000000000001" hidden="1" x14ac:dyDescent="0.25">
      <c r="A1545" s="321" t="s">
        <v>473</v>
      </c>
      <c r="B1545" s="321" t="s">
        <v>99</v>
      </c>
      <c r="C1545" s="318" t="s">
        <v>13</v>
      </c>
      <c r="D1545">
        <v>18320</v>
      </c>
      <c r="E1545" s="143">
        <v>65000</v>
      </c>
      <c r="F1545" s="117">
        <v>1403</v>
      </c>
      <c r="G1545" s="321" t="s">
        <v>304</v>
      </c>
      <c r="H1545" s="144">
        <f>bargiri[[#This Row],[میزان بارگیری شده]]*bargiri[[#This Row],[فی]]</f>
        <v>1190800000</v>
      </c>
      <c r="I1545" s="321">
        <f>IF(year=bargiri[[#This Row],[سال]],1,0)</f>
        <v>0</v>
      </c>
    </row>
    <row r="1546" spans="1:9" ht="18.600000000000001" hidden="1" x14ac:dyDescent="0.25">
      <c r="A1546" s="321" t="s">
        <v>473</v>
      </c>
      <c r="B1546" s="321" t="s">
        <v>117</v>
      </c>
      <c r="C1546" s="318" t="s">
        <v>82</v>
      </c>
      <c r="D1546">
        <v>19050</v>
      </c>
      <c r="E1546" s="143">
        <v>70000</v>
      </c>
      <c r="F1546" s="117">
        <v>1403</v>
      </c>
      <c r="G1546" s="321" t="s">
        <v>304</v>
      </c>
      <c r="H1546" s="144">
        <f>bargiri[[#This Row],[میزان بارگیری شده]]*bargiri[[#This Row],[فی]]</f>
        <v>1333500000</v>
      </c>
      <c r="I1546" s="321">
        <f>IF(year=bargiri[[#This Row],[سال]],1,0)</f>
        <v>0</v>
      </c>
    </row>
    <row r="1547" spans="1:9" ht="18.600000000000001" hidden="1" x14ac:dyDescent="0.25">
      <c r="A1547" s="321" t="s">
        <v>473</v>
      </c>
      <c r="B1547" s="321" t="s">
        <v>115</v>
      </c>
      <c r="C1547" s="318" t="s">
        <v>66</v>
      </c>
      <c r="D1547">
        <v>22040</v>
      </c>
      <c r="E1547" s="143">
        <v>45000</v>
      </c>
      <c r="F1547" s="117">
        <v>1403</v>
      </c>
      <c r="G1547" s="321" t="s">
        <v>304</v>
      </c>
      <c r="H1547" s="144">
        <f>bargiri[[#This Row],[میزان بارگیری شده]]*bargiri[[#This Row],[فی]]</f>
        <v>991800000</v>
      </c>
      <c r="I1547" s="321">
        <f>IF(year=bargiri[[#This Row],[سال]],1,0)</f>
        <v>0</v>
      </c>
    </row>
    <row r="1548" spans="1:9" ht="18.600000000000001" hidden="1" x14ac:dyDescent="0.25">
      <c r="A1548" s="321" t="s">
        <v>210</v>
      </c>
      <c r="B1548" s="321" t="s">
        <v>98</v>
      </c>
      <c r="C1548" s="318" t="s">
        <v>11</v>
      </c>
      <c r="D1548">
        <v>22090</v>
      </c>
      <c r="E1548" s="143">
        <v>77000</v>
      </c>
      <c r="F1548" s="117">
        <v>1403</v>
      </c>
      <c r="G1548" s="321" t="s">
        <v>304</v>
      </c>
      <c r="H1548" s="144">
        <f>bargiri[[#This Row],[میزان بارگیری شده]]*bargiri[[#This Row],[فی]]</f>
        <v>1700930000</v>
      </c>
      <c r="I1548" s="321">
        <f>IF(year=bargiri[[#This Row],[سال]],1,0)</f>
        <v>0</v>
      </c>
    </row>
    <row r="1549" spans="1:9" ht="18.600000000000001" hidden="1" x14ac:dyDescent="0.25">
      <c r="A1549" s="321" t="s">
        <v>210</v>
      </c>
      <c r="B1549" s="321" t="s">
        <v>110</v>
      </c>
      <c r="C1549" s="318" t="s">
        <v>57</v>
      </c>
      <c r="D1549">
        <v>19830</v>
      </c>
      <c r="E1549" s="143">
        <v>78000</v>
      </c>
      <c r="F1549" s="117">
        <v>1403</v>
      </c>
      <c r="G1549" s="321" t="s">
        <v>304</v>
      </c>
      <c r="H1549" s="144">
        <f>bargiri[[#This Row],[میزان بارگیری شده]]*bargiri[[#This Row],[فی]]</f>
        <v>1546740000</v>
      </c>
      <c r="I1549" s="321">
        <f>IF(year=bargiri[[#This Row],[سال]],1,0)</f>
        <v>0</v>
      </c>
    </row>
    <row r="1550" spans="1:9" ht="18.600000000000001" hidden="1" x14ac:dyDescent="0.25">
      <c r="A1550" s="321" t="s">
        <v>210</v>
      </c>
      <c r="B1550" s="321" t="s">
        <v>116</v>
      </c>
      <c r="C1550" s="318" t="s">
        <v>77</v>
      </c>
      <c r="D1550">
        <v>20190</v>
      </c>
      <c r="E1550" s="143">
        <v>68500</v>
      </c>
      <c r="F1550" s="117">
        <v>1403</v>
      </c>
      <c r="G1550" s="321" t="s">
        <v>304</v>
      </c>
      <c r="H1550" s="144">
        <f>bargiri[[#This Row],[میزان بارگیری شده]]*bargiri[[#This Row],[فی]]</f>
        <v>1383015000</v>
      </c>
      <c r="I1550" s="321">
        <f>IF(year=bargiri[[#This Row],[سال]],1,0)</f>
        <v>0</v>
      </c>
    </row>
    <row r="1551" spans="1:9" ht="18.600000000000001" x14ac:dyDescent="0.25">
      <c r="A1551" s="321" t="s">
        <v>210</v>
      </c>
      <c r="B1551" s="321" t="s">
        <v>118</v>
      </c>
      <c r="C1551" s="318" t="s">
        <v>85</v>
      </c>
      <c r="D1551">
        <v>21070</v>
      </c>
      <c r="E1551" s="143">
        <v>56881</v>
      </c>
      <c r="F1551" s="117">
        <v>1403</v>
      </c>
      <c r="G1551" s="321" t="s">
        <v>304</v>
      </c>
      <c r="H1551" s="144">
        <f>bargiri[[#This Row],[میزان بارگیری شده]]*bargiri[[#This Row],[فی]]</f>
        <v>1198482670</v>
      </c>
      <c r="I1551" s="321">
        <f>IF(year=bargiri[[#This Row],[سال]],1,0)</f>
        <v>0</v>
      </c>
    </row>
    <row r="1552" spans="1:9" ht="18.600000000000001" x14ac:dyDescent="0.25">
      <c r="A1552" s="321" t="s">
        <v>210</v>
      </c>
      <c r="B1552" s="321" t="s">
        <v>118</v>
      </c>
      <c r="C1552" s="318" t="s">
        <v>85</v>
      </c>
      <c r="D1552">
        <v>21060</v>
      </c>
      <c r="E1552" s="143">
        <v>56881</v>
      </c>
      <c r="F1552" s="117">
        <v>1403</v>
      </c>
      <c r="G1552" s="321" t="s">
        <v>304</v>
      </c>
      <c r="H1552" s="144">
        <f>bargiri[[#This Row],[میزان بارگیری شده]]*bargiri[[#This Row],[فی]]</f>
        <v>1197913860</v>
      </c>
      <c r="I1552" s="321">
        <f>IF(year=bargiri[[#This Row],[سال]],1,0)</f>
        <v>0</v>
      </c>
    </row>
    <row r="1553" spans="1:9" ht="18.600000000000001" x14ac:dyDescent="0.25">
      <c r="A1553" s="321" t="s">
        <v>210</v>
      </c>
      <c r="B1553" s="321" t="s">
        <v>118</v>
      </c>
      <c r="C1553" s="318" t="s">
        <v>85</v>
      </c>
      <c r="D1553">
        <v>21000</v>
      </c>
      <c r="E1553" s="143">
        <v>56881</v>
      </c>
      <c r="F1553" s="117">
        <v>1403</v>
      </c>
      <c r="G1553" s="321" t="s">
        <v>304</v>
      </c>
      <c r="H1553" s="144">
        <f>bargiri[[#This Row],[میزان بارگیری شده]]*bargiri[[#This Row],[فی]]</f>
        <v>1194501000</v>
      </c>
      <c r="I1553" s="321">
        <f>IF(year=bargiri[[#This Row],[سال]],1,0)</f>
        <v>0</v>
      </c>
    </row>
    <row r="1554" spans="1:9" ht="18.600000000000001" hidden="1" x14ac:dyDescent="0.25">
      <c r="A1554" s="321" t="s">
        <v>474</v>
      </c>
      <c r="B1554" s="321" t="s">
        <v>102</v>
      </c>
      <c r="C1554" s="318" t="s">
        <v>26</v>
      </c>
      <c r="D1554">
        <v>10400</v>
      </c>
      <c r="E1554" s="143">
        <v>70000</v>
      </c>
      <c r="F1554" s="117">
        <v>1403</v>
      </c>
      <c r="G1554" s="321" t="s">
        <v>304</v>
      </c>
      <c r="H1554" s="144">
        <f>bargiri[[#This Row],[میزان بارگیری شده]]*bargiri[[#This Row],[فی]]</f>
        <v>728000000</v>
      </c>
      <c r="I1554" s="321">
        <f>IF(year=bargiri[[#This Row],[سال]],1,0)</f>
        <v>0</v>
      </c>
    </row>
    <row r="1555" spans="1:9" ht="18.600000000000001" hidden="1" x14ac:dyDescent="0.25">
      <c r="A1555" s="321" t="s">
        <v>474</v>
      </c>
      <c r="B1555" s="321" t="s">
        <v>116</v>
      </c>
      <c r="C1555" s="318" t="s">
        <v>77</v>
      </c>
      <c r="D1555">
        <v>9910</v>
      </c>
      <c r="E1555" s="143">
        <v>68500</v>
      </c>
      <c r="F1555" s="117">
        <v>1403</v>
      </c>
      <c r="G1555" s="321" t="s">
        <v>304</v>
      </c>
      <c r="H1555" s="144">
        <f>bargiri[[#This Row],[میزان بارگیری شده]]*bargiri[[#This Row],[فی]]</f>
        <v>678835000</v>
      </c>
      <c r="I1555" s="321">
        <f>IF(year=bargiri[[#This Row],[سال]],1,0)</f>
        <v>0</v>
      </c>
    </row>
    <row r="1556" spans="1:9" ht="18.600000000000001" hidden="1" x14ac:dyDescent="0.25">
      <c r="A1556" s="321" t="s">
        <v>474</v>
      </c>
      <c r="B1556" s="321" t="s">
        <v>99</v>
      </c>
      <c r="C1556" s="318" t="s">
        <v>13</v>
      </c>
      <c r="D1556">
        <v>18550</v>
      </c>
      <c r="E1556" s="143">
        <v>65000</v>
      </c>
      <c r="F1556" s="117">
        <v>1403</v>
      </c>
      <c r="G1556" s="321" t="s">
        <v>304</v>
      </c>
      <c r="H1556" s="144">
        <f>bargiri[[#This Row],[میزان بارگیری شده]]*bargiri[[#This Row],[فی]]</f>
        <v>1205750000</v>
      </c>
      <c r="I1556" s="321">
        <f>IF(year=bargiri[[#This Row],[سال]],1,0)</f>
        <v>0</v>
      </c>
    </row>
    <row r="1557" spans="1:9" ht="18.600000000000001" hidden="1" x14ac:dyDescent="0.25">
      <c r="A1557" s="321" t="s">
        <v>464</v>
      </c>
      <c r="B1557" s="321" t="s">
        <v>115</v>
      </c>
      <c r="C1557" s="318" t="s">
        <v>66</v>
      </c>
      <c r="D1557">
        <v>23120</v>
      </c>
      <c r="E1557" s="143">
        <v>45000</v>
      </c>
      <c r="F1557" s="117">
        <v>1403</v>
      </c>
      <c r="G1557" s="321" t="s">
        <v>304</v>
      </c>
      <c r="H1557" s="144">
        <f>bargiri[[#This Row],[میزان بارگیری شده]]*bargiri[[#This Row],[فی]]</f>
        <v>1040400000</v>
      </c>
      <c r="I1557" s="321">
        <f>IF(year=bargiri[[#This Row],[سال]],1,0)</f>
        <v>0</v>
      </c>
    </row>
    <row r="1558" spans="1:9" ht="18.600000000000001" hidden="1" x14ac:dyDescent="0.25">
      <c r="A1558" s="321" t="s">
        <v>475</v>
      </c>
      <c r="B1558" s="321" t="s">
        <v>115</v>
      </c>
      <c r="C1558" s="318" t="s">
        <v>66</v>
      </c>
      <c r="D1558">
        <v>20130</v>
      </c>
      <c r="E1558" s="143">
        <v>45000</v>
      </c>
      <c r="F1558" s="117">
        <v>1403</v>
      </c>
      <c r="G1558" s="321" t="s">
        <v>305</v>
      </c>
      <c r="H1558" s="144">
        <f>bargiri[[#This Row],[میزان بارگیری شده]]*bargiri[[#This Row],[فی]]</f>
        <v>905850000</v>
      </c>
      <c r="I1558" s="321">
        <f>IF(year=bargiri[[#This Row],[سال]],1,0)</f>
        <v>0</v>
      </c>
    </row>
    <row r="1559" spans="1:9" ht="18.600000000000001" hidden="1" x14ac:dyDescent="0.25">
      <c r="A1559" s="321" t="s">
        <v>476</v>
      </c>
      <c r="B1559" s="321" t="s">
        <v>115</v>
      </c>
      <c r="C1559" s="318" t="s">
        <v>66</v>
      </c>
      <c r="D1559">
        <v>22740</v>
      </c>
      <c r="E1559" s="143">
        <v>45000</v>
      </c>
      <c r="F1559" s="117">
        <v>1403</v>
      </c>
      <c r="G1559" s="321" t="s">
        <v>305</v>
      </c>
      <c r="H1559" s="144">
        <f>bargiri[[#This Row],[میزان بارگیری شده]]*bargiri[[#This Row],[فی]]</f>
        <v>1023300000</v>
      </c>
      <c r="I1559" s="321">
        <f>IF(year=bargiri[[#This Row],[سال]],1,0)</f>
        <v>0</v>
      </c>
    </row>
    <row r="1560" spans="1:9" ht="18.600000000000001" hidden="1" x14ac:dyDescent="0.25">
      <c r="A1560" s="321" t="s">
        <v>477</v>
      </c>
      <c r="B1560" s="321" t="s">
        <v>115</v>
      </c>
      <c r="C1560" s="318" t="s">
        <v>66</v>
      </c>
      <c r="D1560">
        <v>22800</v>
      </c>
      <c r="E1560" s="143">
        <v>45000</v>
      </c>
      <c r="F1560" s="117">
        <v>1403</v>
      </c>
      <c r="G1560" s="321" t="s">
        <v>305</v>
      </c>
      <c r="H1560" s="144">
        <f>bargiri[[#This Row],[میزان بارگیری شده]]*bargiri[[#This Row],[فی]]</f>
        <v>1026000000</v>
      </c>
      <c r="I1560" s="321">
        <f>IF(year=bargiri[[#This Row],[سال]],1,0)</f>
        <v>0</v>
      </c>
    </row>
    <row r="1561" spans="1:9" ht="18.600000000000001" hidden="1" x14ac:dyDescent="0.25">
      <c r="A1561" s="321" t="s">
        <v>151</v>
      </c>
      <c r="B1561" s="321" t="s">
        <v>115</v>
      </c>
      <c r="C1561" s="318" t="s">
        <v>66</v>
      </c>
      <c r="D1561">
        <v>22520</v>
      </c>
      <c r="E1561" s="143">
        <v>45000</v>
      </c>
      <c r="F1561" s="117">
        <v>1403</v>
      </c>
      <c r="G1561" s="321" t="s">
        <v>295</v>
      </c>
      <c r="H1561" s="144">
        <f>bargiri[[#This Row],[میزان بارگیری شده]]*bargiri[[#This Row],[فی]]</f>
        <v>1013400000</v>
      </c>
      <c r="I1561" s="321">
        <f>IF(year=bargiri[[#This Row],[سال]],1,0)</f>
        <v>0</v>
      </c>
    </row>
    <row r="1562" spans="1:9" ht="18.600000000000001" hidden="1" x14ac:dyDescent="0.25">
      <c r="A1562" s="321" t="s">
        <v>158</v>
      </c>
      <c r="B1562" s="321" t="s">
        <v>115</v>
      </c>
      <c r="C1562" s="318" t="s">
        <v>66</v>
      </c>
      <c r="D1562">
        <v>22370</v>
      </c>
      <c r="E1562" s="143">
        <v>45000</v>
      </c>
      <c r="F1562" s="117">
        <v>1403</v>
      </c>
      <c r="G1562" s="321" t="s">
        <v>295</v>
      </c>
      <c r="H1562" s="144">
        <f>bargiri[[#This Row],[میزان بارگیری شده]]*bargiri[[#This Row],[فی]]</f>
        <v>1006650000</v>
      </c>
      <c r="I1562" s="321">
        <f>IF(year=bargiri[[#This Row],[سال]],1,0)</f>
        <v>0</v>
      </c>
    </row>
    <row r="1563" spans="1:9" ht="18.600000000000001" hidden="1" x14ac:dyDescent="0.25">
      <c r="A1563" s="321" t="s">
        <v>158</v>
      </c>
      <c r="B1563" s="321" t="s">
        <v>115</v>
      </c>
      <c r="C1563" s="318" t="s">
        <v>66</v>
      </c>
      <c r="D1563">
        <v>22690</v>
      </c>
      <c r="E1563" s="143">
        <v>45000</v>
      </c>
      <c r="F1563" s="117">
        <v>1403</v>
      </c>
      <c r="G1563" s="321" t="s">
        <v>295</v>
      </c>
      <c r="H1563" s="144">
        <f>bargiri[[#This Row],[میزان بارگیری شده]]*bargiri[[#This Row],[فی]]</f>
        <v>1021050000</v>
      </c>
      <c r="I1563" s="321">
        <f>IF(year=bargiri[[#This Row],[سال]],1,0)</f>
        <v>0</v>
      </c>
    </row>
    <row r="1564" spans="1:9" ht="18.600000000000001" hidden="1" x14ac:dyDescent="0.25">
      <c r="A1564" s="321" t="s">
        <v>478</v>
      </c>
      <c r="B1564" s="321" t="s">
        <v>115</v>
      </c>
      <c r="C1564" s="318" t="s">
        <v>66</v>
      </c>
      <c r="D1564">
        <v>22560</v>
      </c>
      <c r="E1564" s="143">
        <v>45000</v>
      </c>
      <c r="F1564" s="117">
        <v>1403</v>
      </c>
      <c r="G1564" s="321" t="s">
        <v>295</v>
      </c>
      <c r="H1564" s="144">
        <f>bargiri[[#This Row],[میزان بارگیری شده]]*bargiri[[#This Row],[فی]]</f>
        <v>1015200000</v>
      </c>
      <c r="I1564" s="321">
        <f>IF(year=bargiri[[#This Row],[سال]],1,0)</f>
        <v>0</v>
      </c>
    </row>
    <row r="1565" spans="1:9" ht="18.600000000000001" hidden="1" x14ac:dyDescent="0.25">
      <c r="A1565" s="321" t="s">
        <v>479</v>
      </c>
      <c r="B1565" s="321" t="s">
        <v>115</v>
      </c>
      <c r="C1565" s="318" t="s">
        <v>66</v>
      </c>
      <c r="D1565">
        <v>22520</v>
      </c>
      <c r="E1565" s="143">
        <v>45000</v>
      </c>
      <c r="F1565" s="117">
        <v>1403</v>
      </c>
      <c r="G1565" s="321" t="s">
        <v>295</v>
      </c>
      <c r="H1565" s="144">
        <f>bargiri[[#This Row],[میزان بارگیری شده]]*bargiri[[#This Row],[فی]]</f>
        <v>1013400000</v>
      </c>
      <c r="I1565" s="321">
        <f>IF(year=bargiri[[#This Row],[سال]],1,0)</f>
        <v>0</v>
      </c>
    </row>
    <row r="1566" spans="1:9" ht="18.600000000000001" hidden="1" x14ac:dyDescent="0.25">
      <c r="A1566" s="321" t="s">
        <v>216</v>
      </c>
      <c r="B1566" s="321" t="s">
        <v>115</v>
      </c>
      <c r="C1566" s="318" t="s">
        <v>66</v>
      </c>
      <c r="D1566">
        <v>22550</v>
      </c>
      <c r="E1566" s="143">
        <v>45000</v>
      </c>
      <c r="F1566" s="117">
        <v>1403</v>
      </c>
      <c r="G1566" s="321" t="s">
        <v>295</v>
      </c>
      <c r="H1566" s="144">
        <f>bargiri[[#This Row],[میزان بارگیری شده]]*bargiri[[#This Row],[فی]]</f>
        <v>1014750000</v>
      </c>
      <c r="I1566" s="321">
        <f>IF(year=bargiri[[#This Row],[سال]],1,0)</f>
        <v>0</v>
      </c>
    </row>
    <row r="1567" spans="1:9" ht="18.600000000000001" hidden="1" x14ac:dyDescent="0.25">
      <c r="A1567" s="321" t="s">
        <v>226</v>
      </c>
      <c r="B1567" s="321" t="s">
        <v>106</v>
      </c>
      <c r="C1567" s="318" t="s">
        <v>49</v>
      </c>
      <c r="D1567">
        <v>10060</v>
      </c>
      <c r="E1567" s="143">
        <v>50000</v>
      </c>
      <c r="F1567" s="117">
        <v>1403</v>
      </c>
      <c r="G1567" s="321" t="s">
        <v>304</v>
      </c>
      <c r="H1567" s="144">
        <f>bargiri[[#This Row],[میزان بارگیری شده]]*bargiri[[#This Row],[فی]]</f>
        <v>503000000</v>
      </c>
      <c r="I1567" s="321">
        <f>IF(year=bargiri[[#This Row],[سال]],1,0)</f>
        <v>0</v>
      </c>
    </row>
    <row r="1568" spans="1:9" ht="18.600000000000001" x14ac:dyDescent="0.25">
      <c r="A1568" s="321" t="s">
        <v>226</v>
      </c>
      <c r="B1568" s="321" t="s">
        <v>118</v>
      </c>
      <c r="C1568" s="318" t="s">
        <v>85</v>
      </c>
      <c r="D1568">
        <v>21460</v>
      </c>
      <c r="E1568" s="143">
        <v>56881</v>
      </c>
      <c r="F1568" s="117">
        <v>1403</v>
      </c>
      <c r="G1568" s="321" t="s">
        <v>304</v>
      </c>
      <c r="H1568" s="144">
        <f>bargiri[[#This Row],[میزان بارگیری شده]]*bargiri[[#This Row],[فی]]</f>
        <v>1220666260</v>
      </c>
      <c r="I1568" s="321">
        <f>IF(year=bargiri[[#This Row],[سال]],1,0)</f>
        <v>0</v>
      </c>
    </row>
    <row r="1569" spans="1:9" ht="18.600000000000001" x14ac:dyDescent="0.25">
      <c r="A1569" s="321" t="s">
        <v>226</v>
      </c>
      <c r="B1569" s="321" t="s">
        <v>118</v>
      </c>
      <c r="C1569" s="318" t="s">
        <v>85</v>
      </c>
      <c r="D1569">
        <v>20770</v>
      </c>
      <c r="E1569" s="143">
        <v>56881</v>
      </c>
      <c r="F1569" s="117">
        <v>1403</v>
      </c>
      <c r="G1569" s="321" t="s">
        <v>304</v>
      </c>
      <c r="H1569" s="144">
        <f>bargiri[[#This Row],[میزان بارگیری شده]]*bargiri[[#This Row],[فی]]</f>
        <v>1181418370</v>
      </c>
      <c r="I1569" s="321">
        <f>IF(year=bargiri[[#This Row],[سال]],1,0)</f>
        <v>0</v>
      </c>
    </row>
    <row r="1570" spans="1:9" ht="18.600000000000001" x14ac:dyDescent="0.25">
      <c r="A1570" s="321" t="s">
        <v>226</v>
      </c>
      <c r="B1570" s="321" t="s">
        <v>118</v>
      </c>
      <c r="C1570" s="318" t="s">
        <v>85</v>
      </c>
      <c r="D1570">
        <v>21090</v>
      </c>
      <c r="E1570" s="143">
        <v>56881</v>
      </c>
      <c r="F1570" s="117">
        <v>1403</v>
      </c>
      <c r="G1570" s="321" t="s">
        <v>304</v>
      </c>
      <c r="H1570" s="144">
        <f>bargiri[[#This Row],[میزان بارگیری شده]]*bargiri[[#This Row],[فی]]</f>
        <v>1199620290</v>
      </c>
      <c r="I1570" s="321">
        <f>IF(year=bargiri[[#This Row],[سال]],1,0)</f>
        <v>0</v>
      </c>
    </row>
    <row r="1571" spans="1:9" ht="18.600000000000001" hidden="1" x14ac:dyDescent="0.25">
      <c r="A1571" s="321" t="s">
        <v>464</v>
      </c>
      <c r="B1571" s="321" t="s">
        <v>117</v>
      </c>
      <c r="C1571" s="318" t="s">
        <v>82</v>
      </c>
      <c r="D1571">
        <v>20950</v>
      </c>
      <c r="E1571" s="143">
        <v>70000</v>
      </c>
      <c r="F1571" s="117">
        <v>1403</v>
      </c>
      <c r="G1571" s="321" t="s">
        <v>304</v>
      </c>
      <c r="H1571" s="144">
        <f>bargiri[[#This Row],[میزان بارگیری شده]]*bargiri[[#This Row],[فی]]</f>
        <v>1466500000</v>
      </c>
      <c r="I1571" s="321">
        <f>IF(year=bargiri[[#This Row],[سال]],1,0)</f>
        <v>0</v>
      </c>
    </row>
    <row r="1572" spans="1:9" ht="18.600000000000001" hidden="1" x14ac:dyDescent="0.25">
      <c r="A1572" s="321" t="s">
        <v>464</v>
      </c>
      <c r="B1572" s="321" t="s">
        <v>116</v>
      </c>
      <c r="C1572" s="318" t="s">
        <v>77</v>
      </c>
      <c r="D1572">
        <v>19870</v>
      </c>
      <c r="E1572" s="143">
        <v>68500</v>
      </c>
      <c r="F1572" s="117">
        <v>1403</v>
      </c>
      <c r="G1572" s="321" t="s">
        <v>304</v>
      </c>
      <c r="H1572" s="144">
        <f>bargiri[[#This Row],[میزان بارگیری شده]]*bargiri[[#This Row],[فی]]</f>
        <v>1361095000</v>
      </c>
      <c r="I1572" s="321">
        <f>IF(year=bargiri[[#This Row],[سال]],1,0)</f>
        <v>0</v>
      </c>
    </row>
    <row r="1573" spans="1:9" ht="18.600000000000001" hidden="1" x14ac:dyDescent="0.25">
      <c r="A1573" s="321" t="s">
        <v>194</v>
      </c>
      <c r="B1573" s="321" t="s">
        <v>101</v>
      </c>
      <c r="C1573" s="318" t="s">
        <v>21</v>
      </c>
      <c r="D1573">
        <v>21130</v>
      </c>
      <c r="E1573" s="143">
        <v>68000</v>
      </c>
      <c r="F1573" s="117">
        <v>1403</v>
      </c>
      <c r="G1573" s="321" t="s">
        <v>304</v>
      </c>
      <c r="H1573" s="144">
        <f>bargiri[[#This Row],[میزان بارگیری شده]]*bargiri[[#This Row],[فی]]</f>
        <v>1436840000</v>
      </c>
      <c r="I1573" s="321">
        <f>IF(year=bargiri[[#This Row],[سال]],1,0)</f>
        <v>0</v>
      </c>
    </row>
    <row r="1574" spans="1:9" ht="18.600000000000001" hidden="1" x14ac:dyDescent="0.25">
      <c r="A1574" s="321" t="s">
        <v>189</v>
      </c>
      <c r="B1574" s="321" t="s">
        <v>99</v>
      </c>
      <c r="C1574" s="318" t="s">
        <v>13</v>
      </c>
      <c r="D1574">
        <v>12940</v>
      </c>
      <c r="E1574" s="143">
        <v>65000</v>
      </c>
      <c r="F1574" s="117">
        <v>1403</v>
      </c>
      <c r="G1574" s="321" t="s">
        <v>304</v>
      </c>
      <c r="H1574" s="144">
        <f>bargiri[[#This Row],[میزان بارگیری شده]]*bargiri[[#This Row],[فی]]</f>
        <v>841100000</v>
      </c>
      <c r="I1574" s="321">
        <f>IF(year=bargiri[[#This Row],[سال]],1,0)</f>
        <v>0</v>
      </c>
    </row>
    <row r="1575" spans="1:9" ht="18.600000000000001" hidden="1" x14ac:dyDescent="0.25">
      <c r="A1575" s="321" t="s">
        <v>189</v>
      </c>
      <c r="B1575" s="321" t="s">
        <v>99</v>
      </c>
      <c r="C1575" s="318" t="s">
        <v>14</v>
      </c>
      <c r="D1575">
        <v>5580</v>
      </c>
      <c r="E1575" s="143">
        <v>50000</v>
      </c>
      <c r="F1575" s="117">
        <v>1403</v>
      </c>
      <c r="G1575" s="321" t="s">
        <v>304</v>
      </c>
      <c r="H1575" s="144">
        <f>bargiri[[#This Row],[میزان بارگیری شده]]*bargiri[[#This Row],[فی]]</f>
        <v>279000000</v>
      </c>
      <c r="I1575" s="321">
        <f>IF(year=bargiri[[#This Row],[سال]],1,0)</f>
        <v>0</v>
      </c>
    </row>
    <row r="1576" spans="1:9" ht="18.600000000000001" hidden="1" x14ac:dyDescent="0.25">
      <c r="A1576" s="321" t="s">
        <v>199</v>
      </c>
      <c r="B1576" s="321" t="s">
        <v>103</v>
      </c>
      <c r="C1576" s="318" t="s">
        <v>31</v>
      </c>
      <c r="D1576">
        <v>11170</v>
      </c>
      <c r="E1576" s="143">
        <v>90000</v>
      </c>
      <c r="F1576" s="117">
        <v>1403</v>
      </c>
      <c r="G1576" s="321" t="s">
        <v>304</v>
      </c>
      <c r="H1576" s="144">
        <f>bargiri[[#This Row],[میزان بارگیری شده]]*bargiri[[#This Row],[فی]]</f>
        <v>1005300000</v>
      </c>
      <c r="I1576" s="321">
        <f>IF(year=bargiri[[#This Row],[سال]],1,0)</f>
        <v>0</v>
      </c>
    </row>
    <row r="1577" spans="1:9" ht="18.600000000000001" hidden="1" x14ac:dyDescent="0.25">
      <c r="A1577" s="321" t="s">
        <v>188</v>
      </c>
      <c r="B1577" s="321" t="s">
        <v>102</v>
      </c>
      <c r="C1577" s="318" t="s">
        <v>26</v>
      </c>
      <c r="D1577">
        <v>4160</v>
      </c>
      <c r="E1577" s="143">
        <v>70000</v>
      </c>
      <c r="F1577" s="117">
        <v>1403</v>
      </c>
      <c r="G1577" s="321" t="s">
        <v>304</v>
      </c>
      <c r="H1577" s="144">
        <f>bargiri[[#This Row],[میزان بارگیری شده]]*bargiri[[#This Row],[فی]]</f>
        <v>291200000</v>
      </c>
      <c r="I1577" s="321">
        <f>IF(year=bargiri[[#This Row],[سال]],1,0)</f>
        <v>0</v>
      </c>
    </row>
    <row r="1578" spans="1:9" ht="18.600000000000001" hidden="1" x14ac:dyDescent="0.25">
      <c r="A1578" s="321" t="s">
        <v>188</v>
      </c>
      <c r="B1578" s="321" t="s">
        <v>102</v>
      </c>
      <c r="C1578" s="318" t="s">
        <v>27</v>
      </c>
      <c r="D1578">
        <v>7360</v>
      </c>
      <c r="E1578" s="143">
        <v>56000</v>
      </c>
      <c r="F1578" s="117">
        <v>1403</v>
      </c>
      <c r="G1578" s="321" t="s">
        <v>304</v>
      </c>
      <c r="H1578" s="144">
        <f>bargiri[[#This Row],[میزان بارگیری شده]]*bargiri[[#This Row],[فی]]</f>
        <v>412160000</v>
      </c>
      <c r="I1578" s="321">
        <f>IF(year=bargiri[[#This Row],[سال]],1,0)</f>
        <v>0</v>
      </c>
    </row>
    <row r="1579" spans="1:9" ht="18.600000000000001" hidden="1" x14ac:dyDescent="0.25">
      <c r="A1579" s="321" t="s">
        <v>189</v>
      </c>
      <c r="B1579" s="321" t="s">
        <v>99</v>
      </c>
      <c r="C1579" s="318" t="s">
        <v>14</v>
      </c>
      <c r="D1579">
        <v>18160</v>
      </c>
      <c r="E1579" s="143">
        <v>50000</v>
      </c>
      <c r="F1579" s="117">
        <v>1403</v>
      </c>
      <c r="G1579" s="321" t="s">
        <v>304</v>
      </c>
      <c r="H1579" s="144">
        <f>bargiri[[#This Row],[میزان بارگیری شده]]*bargiri[[#This Row],[فی]]</f>
        <v>908000000</v>
      </c>
      <c r="I1579" s="321">
        <f>IF(year=bargiri[[#This Row],[سال]],1,0)</f>
        <v>0</v>
      </c>
    </row>
    <row r="1580" spans="1:9" ht="18.600000000000001" hidden="1" x14ac:dyDescent="0.25">
      <c r="A1580" s="321" t="s">
        <v>189</v>
      </c>
      <c r="B1580" s="321" t="s">
        <v>116</v>
      </c>
      <c r="C1580" s="318" t="s">
        <v>77</v>
      </c>
      <c r="D1580">
        <v>20170</v>
      </c>
      <c r="E1580" s="143">
        <v>68500</v>
      </c>
      <c r="F1580" s="117">
        <v>1403</v>
      </c>
      <c r="G1580" s="321" t="s">
        <v>304</v>
      </c>
      <c r="H1580" s="144">
        <f>bargiri[[#This Row],[میزان بارگیری شده]]*bargiri[[#This Row],[فی]]</f>
        <v>1381645000</v>
      </c>
      <c r="I1580" s="321">
        <f>IF(year=bargiri[[#This Row],[سال]],1,0)</f>
        <v>0</v>
      </c>
    </row>
    <row r="1581" spans="1:9" ht="18.600000000000001" hidden="1" x14ac:dyDescent="0.25">
      <c r="A1581" s="321" t="s">
        <v>189</v>
      </c>
      <c r="B1581" s="321" t="s">
        <v>98</v>
      </c>
      <c r="C1581" s="318" t="s">
        <v>11</v>
      </c>
      <c r="D1581">
        <v>22140</v>
      </c>
      <c r="E1581" s="143">
        <v>77000</v>
      </c>
      <c r="F1581" s="117">
        <v>1403</v>
      </c>
      <c r="G1581" s="321" t="s">
        <v>304</v>
      </c>
      <c r="H1581" s="144">
        <f>bargiri[[#This Row],[میزان بارگیری شده]]*bargiri[[#This Row],[فی]]</f>
        <v>1704780000</v>
      </c>
      <c r="I1581" s="321">
        <f>IF(year=bargiri[[#This Row],[سال]],1,0)</f>
        <v>0</v>
      </c>
    </row>
    <row r="1582" spans="1:9" ht="18.600000000000001" hidden="1" x14ac:dyDescent="0.25">
      <c r="A1582" s="321" t="s">
        <v>194</v>
      </c>
      <c r="B1582" s="321" t="s">
        <v>108</v>
      </c>
      <c r="C1582" s="318" t="s">
        <v>53</v>
      </c>
      <c r="D1582">
        <v>20010</v>
      </c>
      <c r="E1582" s="143">
        <v>70000</v>
      </c>
      <c r="F1582" s="117">
        <v>1403</v>
      </c>
      <c r="G1582" s="321" t="s">
        <v>304</v>
      </c>
      <c r="H1582" s="144">
        <f>bargiri[[#This Row],[میزان بارگیری شده]]*bargiri[[#This Row],[فی]]</f>
        <v>1400700000</v>
      </c>
      <c r="I1582" s="321">
        <f>IF(year=bargiri[[#This Row],[سال]],1,0)</f>
        <v>0</v>
      </c>
    </row>
    <row r="1583" spans="1:9" ht="18.600000000000001" hidden="1" x14ac:dyDescent="0.25">
      <c r="A1583" s="321" t="s">
        <v>194</v>
      </c>
      <c r="B1583" s="321" t="s">
        <v>117</v>
      </c>
      <c r="C1583" s="318" t="s">
        <v>82</v>
      </c>
      <c r="D1583">
        <v>6280</v>
      </c>
      <c r="E1583" s="143">
        <v>70000</v>
      </c>
      <c r="F1583" s="117">
        <v>1403</v>
      </c>
      <c r="G1583" s="321" t="s">
        <v>304</v>
      </c>
      <c r="H1583" s="144">
        <f>bargiri[[#This Row],[میزان بارگیری شده]]*bargiri[[#This Row],[فی]]</f>
        <v>439600000</v>
      </c>
      <c r="I1583" s="321">
        <f>IF(year=bargiri[[#This Row],[سال]],1,0)</f>
        <v>0</v>
      </c>
    </row>
    <row r="1584" spans="1:9" ht="18.600000000000001" hidden="1" x14ac:dyDescent="0.25">
      <c r="A1584" s="321" t="s">
        <v>188</v>
      </c>
      <c r="B1584" s="321" t="s">
        <v>117</v>
      </c>
      <c r="C1584" s="318" t="s">
        <v>82</v>
      </c>
      <c r="D1584">
        <v>23060</v>
      </c>
      <c r="E1584" s="143">
        <v>70000</v>
      </c>
      <c r="F1584" s="117">
        <v>1403</v>
      </c>
      <c r="G1584" s="321" t="s">
        <v>304</v>
      </c>
      <c r="H1584" s="144">
        <f>bargiri[[#This Row],[میزان بارگیری شده]]*bargiri[[#This Row],[فی]]</f>
        <v>1614200000</v>
      </c>
      <c r="I1584" s="321">
        <f>IF(year=bargiri[[#This Row],[سال]],1,0)</f>
        <v>0</v>
      </c>
    </row>
    <row r="1585" spans="1:9" ht="18.600000000000001" hidden="1" x14ac:dyDescent="0.25">
      <c r="A1585" s="321" t="s">
        <v>200</v>
      </c>
      <c r="B1585" s="321" t="s">
        <v>117</v>
      </c>
      <c r="C1585" s="318" t="s">
        <v>81</v>
      </c>
      <c r="D1585">
        <v>6140</v>
      </c>
      <c r="E1585" s="143">
        <v>70000</v>
      </c>
      <c r="F1585" s="117">
        <v>1403</v>
      </c>
      <c r="G1585" s="321" t="s">
        <v>311</v>
      </c>
      <c r="H1585" s="144">
        <f>bargiri[[#This Row],[میزان بارگیری شده]]*bargiri[[#This Row],[فی]]</f>
        <v>429800000</v>
      </c>
      <c r="I1585" s="321">
        <f>IF(year=bargiri[[#This Row],[سال]],1,0)</f>
        <v>0</v>
      </c>
    </row>
    <row r="1586" spans="1:9" ht="18.600000000000001" hidden="1" x14ac:dyDescent="0.25">
      <c r="A1586" s="321" t="s">
        <v>199</v>
      </c>
      <c r="B1586" s="321" t="s">
        <v>102</v>
      </c>
      <c r="C1586" s="318" t="s">
        <v>26</v>
      </c>
      <c r="D1586">
        <v>10320</v>
      </c>
      <c r="E1586" s="143">
        <v>70000</v>
      </c>
      <c r="F1586" s="117">
        <v>1403</v>
      </c>
      <c r="G1586" s="321" t="s">
        <v>304</v>
      </c>
      <c r="H1586" s="144">
        <f>bargiri[[#This Row],[میزان بارگیری شده]]*bargiri[[#This Row],[فی]]</f>
        <v>722400000</v>
      </c>
      <c r="I1586" s="321">
        <f>IF(year=bargiri[[#This Row],[سال]],1,0)</f>
        <v>0</v>
      </c>
    </row>
    <row r="1587" spans="1:9" ht="18.600000000000001" hidden="1" x14ac:dyDescent="0.25">
      <c r="A1587" s="321" t="s">
        <v>194</v>
      </c>
      <c r="B1587" s="321" t="s">
        <v>102</v>
      </c>
      <c r="C1587" s="318" t="s">
        <v>26</v>
      </c>
      <c r="D1587">
        <v>9520</v>
      </c>
      <c r="E1587" s="143">
        <v>70000</v>
      </c>
      <c r="F1587" s="117">
        <v>1403</v>
      </c>
      <c r="G1587" s="321" t="s">
        <v>304</v>
      </c>
      <c r="H1587" s="144">
        <f>bargiri[[#This Row],[میزان بارگیری شده]]*bargiri[[#This Row],[فی]]</f>
        <v>666400000</v>
      </c>
      <c r="I1587" s="321">
        <f>IF(year=bargiri[[#This Row],[سال]],1,0)</f>
        <v>0</v>
      </c>
    </row>
    <row r="1588" spans="1:9" ht="18.600000000000001" hidden="1" x14ac:dyDescent="0.25">
      <c r="A1588" s="321" t="s">
        <v>194</v>
      </c>
      <c r="B1588" s="321" t="s">
        <v>102</v>
      </c>
      <c r="C1588" s="318" t="s">
        <v>26</v>
      </c>
      <c r="D1588">
        <v>8070</v>
      </c>
      <c r="E1588" s="143">
        <v>70000</v>
      </c>
      <c r="F1588" s="117">
        <v>1403</v>
      </c>
      <c r="G1588" s="321" t="s">
        <v>304</v>
      </c>
      <c r="H1588" s="144">
        <f>bargiri[[#This Row],[میزان بارگیری شده]]*bargiri[[#This Row],[فی]]</f>
        <v>564900000</v>
      </c>
      <c r="I1588" s="321">
        <f>IF(year=bargiri[[#This Row],[سال]],1,0)</f>
        <v>0</v>
      </c>
    </row>
    <row r="1589" spans="1:9" ht="18.600000000000001" hidden="1" x14ac:dyDescent="0.25">
      <c r="A1589" s="321" t="s">
        <v>465</v>
      </c>
      <c r="B1589" s="321" t="s">
        <v>116</v>
      </c>
      <c r="C1589" s="318" t="s">
        <v>77</v>
      </c>
      <c r="D1589">
        <v>20030</v>
      </c>
      <c r="E1589" s="143">
        <v>68500</v>
      </c>
      <c r="F1589" s="117">
        <v>1403</v>
      </c>
      <c r="G1589" s="321" t="s">
        <v>304</v>
      </c>
      <c r="H1589" s="144">
        <f>bargiri[[#This Row],[میزان بارگیری شده]]*bargiri[[#This Row],[فی]]</f>
        <v>1372055000</v>
      </c>
      <c r="I1589" s="321">
        <f>IF(year=bargiri[[#This Row],[سال]],1,0)</f>
        <v>0</v>
      </c>
    </row>
    <row r="1590" spans="1:9" ht="18.600000000000001" hidden="1" x14ac:dyDescent="0.25">
      <c r="A1590" s="321" t="s">
        <v>465</v>
      </c>
      <c r="B1590" s="321" t="s">
        <v>98</v>
      </c>
      <c r="C1590" s="318" t="s">
        <v>11</v>
      </c>
      <c r="D1590">
        <v>22390</v>
      </c>
      <c r="E1590" s="143">
        <v>77000</v>
      </c>
      <c r="F1590" s="117">
        <v>1403</v>
      </c>
      <c r="G1590" s="321" t="s">
        <v>304</v>
      </c>
      <c r="H1590" s="144">
        <f>bargiri[[#This Row],[میزان بارگیری شده]]*bargiri[[#This Row],[فی]]</f>
        <v>1724030000</v>
      </c>
      <c r="I1590" s="321">
        <f>IF(year=bargiri[[#This Row],[سال]],1,0)</f>
        <v>0</v>
      </c>
    </row>
    <row r="1591" spans="1:9" ht="18.600000000000001" hidden="1" x14ac:dyDescent="0.25">
      <c r="A1591" s="321" t="s">
        <v>465</v>
      </c>
      <c r="B1591" s="321" t="s">
        <v>99</v>
      </c>
      <c r="C1591" s="318" t="s">
        <v>14</v>
      </c>
      <c r="D1591">
        <v>18590</v>
      </c>
      <c r="E1591" s="143">
        <v>50000</v>
      </c>
      <c r="F1591" s="117">
        <v>1403</v>
      </c>
      <c r="G1591" s="321" t="s">
        <v>304</v>
      </c>
      <c r="H1591" s="144">
        <f>bargiri[[#This Row],[میزان بارگیری شده]]*bargiri[[#This Row],[فی]]</f>
        <v>929500000</v>
      </c>
      <c r="I1591" s="321">
        <f>IF(year=bargiri[[#This Row],[سال]],1,0)</f>
        <v>0</v>
      </c>
    </row>
    <row r="1592" spans="1:9" ht="18.600000000000001" hidden="1" x14ac:dyDescent="0.25">
      <c r="A1592" s="321" t="s">
        <v>199</v>
      </c>
      <c r="B1592" s="321" t="s">
        <v>116</v>
      </c>
      <c r="C1592" s="318" t="s">
        <v>77</v>
      </c>
      <c r="D1592">
        <v>21710</v>
      </c>
      <c r="E1592" s="143">
        <v>68500</v>
      </c>
      <c r="F1592" s="117">
        <v>1403</v>
      </c>
      <c r="G1592" s="321" t="s">
        <v>304</v>
      </c>
      <c r="H1592" s="144">
        <f>bargiri[[#This Row],[میزان بارگیری شده]]*bargiri[[#This Row],[فی]]</f>
        <v>1487135000</v>
      </c>
      <c r="I1592" s="321">
        <f>IF(year=bargiri[[#This Row],[سال]],1,0)</f>
        <v>0</v>
      </c>
    </row>
    <row r="1593" spans="1:9" ht="18.600000000000001" hidden="1" x14ac:dyDescent="0.25">
      <c r="A1593" s="321" t="s">
        <v>199</v>
      </c>
      <c r="B1593" s="321" t="s">
        <v>116</v>
      </c>
      <c r="C1593" s="318" t="s">
        <v>77</v>
      </c>
      <c r="D1593">
        <v>20050</v>
      </c>
      <c r="E1593" s="143">
        <v>68500</v>
      </c>
      <c r="F1593" s="117">
        <v>1403</v>
      </c>
      <c r="G1593" s="321" t="s">
        <v>304</v>
      </c>
      <c r="H1593" s="144">
        <f>bargiri[[#This Row],[میزان بارگیری شده]]*bargiri[[#This Row],[فی]]</f>
        <v>1373425000</v>
      </c>
      <c r="I1593" s="321">
        <f>IF(year=bargiri[[#This Row],[سال]],1,0)</f>
        <v>0</v>
      </c>
    </row>
    <row r="1594" spans="1:9" ht="18.600000000000001" hidden="1" x14ac:dyDescent="0.25">
      <c r="A1594" s="321" t="s">
        <v>188</v>
      </c>
      <c r="B1594" s="321" t="s">
        <v>103</v>
      </c>
      <c r="C1594" s="318" t="s">
        <v>31</v>
      </c>
      <c r="D1594">
        <v>7620</v>
      </c>
      <c r="E1594" s="143">
        <v>90000</v>
      </c>
      <c r="F1594" s="117">
        <v>1403</v>
      </c>
      <c r="G1594" s="321" t="s">
        <v>304</v>
      </c>
      <c r="H1594" s="144">
        <f>bargiri[[#This Row],[میزان بارگیری شده]]*bargiri[[#This Row],[فی]]</f>
        <v>685800000</v>
      </c>
      <c r="I1594" s="321">
        <f>IF(year=bargiri[[#This Row],[سال]],1,0)</f>
        <v>0</v>
      </c>
    </row>
    <row r="1595" spans="1:9" ht="18.600000000000001" hidden="1" x14ac:dyDescent="0.25">
      <c r="A1595" s="321" t="s">
        <v>188</v>
      </c>
      <c r="B1595" s="321" t="s">
        <v>98</v>
      </c>
      <c r="C1595" s="318" t="s">
        <v>11</v>
      </c>
      <c r="D1595">
        <v>20200</v>
      </c>
      <c r="E1595" s="143">
        <v>77000</v>
      </c>
      <c r="F1595" s="117">
        <v>1403</v>
      </c>
      <c r="G1595" s="321" t="s">
        <v>304</v>
      </c>
      <c r="H1595" s="144">
        <f>bargiri[[#This Row],[میزان بارگیری شده]]*bargiri[[#This Row],[فی]]</f>
        <v>1555400000</v>
      </c>
      <c r="I1595" s="321">
        <f>IF(year=bargiri[[#This Row],[سال]],1,0)</f>
        <v>0</v>
      </c>
    </row>
    <row r="1596" spans="1:9" ht="18.600000000000001" hidden="1" x14ac:dyDescent="0.25">
      <c r="A1596" s="321" t="s">
        <v>188</v>
      </c>
      <c r="B1596" s="321" t="s">
        <v>116</v>
      </c>
      <c r="C1596" s="318" t="s">
        <v>77</v>
      </c>
      <c r="D1596">
        <v>20160</v>
      </c>
      <c r="E1596" s="143">
        <v>68500</v>
      </c>
      <c r="F1596" s="117">
        <v>1403</v>
      </c>
      <c r="G1596" s="321" t="s">
        <v>304</v>
      </c>
      <c r="H1596" s="144">
        <f>bargiri[[#This Row],[میزان بارگیری شده]]*bargiri[[#This Row],[فی]]</f>
        <v>1380960000</v>
      </c>
      <c r="I1596" s="321">
        <f>IF(year=bargiri[[#This Row],[سال]],1,0)</f>
        <v>0</v>
      </c>
    </row>
    <row r="1597" spans="1:9" ht="18.600000000000001" hidden="1" x14ac:dyDescent="0.25">
      <c r="A1597" s="321" t="s">
        <v>202</v>
      </c>
      <c r="B1597" s="321" t="s">
        <v>116</v>
      </c>
      <c r="C1597" s="318" t="s">
        <v>77</v>
      </c>
      <c r="D1597">
        <v>20190</v>
      </c>
      <c r="E1597" s="143">
        <v>68500</v>
      </c>
      <c r="F1597" s="117">
        <v>1403</v>
      </c>
      <c r="G1597" s="321" t="s">
        <v>304</v>
      </c>
      <c r="H1597" s="144">
        <f>bargiri[[#This Row],[میزان بارگیری شده]]*bargiri[[#This Row],[فی]]</f>
        <v>1383015000</v>
      </c>
      <c r="I1597" s="321">
        <f>IF(year=bargiri[[#This Row],[سال]],1,0)</f>
        <v>0</v>
      </c>
    </row>
    <row r="1598" spans="1:9" ht="18.600000000000001" hidden="1" x14ac:dyDescent="0.25">
      <c r="A1598" s="321" t="s">
        <v>202</v>
      </c>
      <c r="B1598" s="321" t="s">
        <v>106</v>
      </c>
      <c r="C1598" s="318" t="s">
        <v>49</v>
      </c>
      <c r="D1598">
        <v>21090</v>
      </c>
      <c r="E1598" s="143">
        <v>50000</v>
      </c>
      <c r="F1598" s="117">
        <v>1403</v>
      </c>
      <c r="G1598" s="321" t="s">
        <v>304</v>
      </c>
      <c r="H1598" s="144">
        <f>bargiri[[#This Row],[میزان بارگیری شده]]*bargiri[[#This Row],[فی]]</f>
        <v>1054500000</v>
      </c>
      <c r="I1598" s="321">
        <f>IF(year=bargiri[[#This Row],[سال]],1,0)</f>
        <v>0</v>
      </c>
    </row>
    <row r="1599" spans="1:9" ht="18.600000000000001" hidden="1" x14ac:dyDescent="0.25">
      <c r="A1599" s="321" t="s">
        <v>202</v>
      </c>
      <c r="B1599" s="321" t="s">
        <v>103</v>
      </c>
      <c r="C1599" s="318" t="s">
        <v>31</v>
      </c>
      <c r="D1599">
        <v>7620</v>
      </c>
      <c r="E1599" s="143">
        <v>90000</v>
      </c>
      <c r="F1599" s="117">
        <v>1403</v>
      </c>
      <c r="G1599" s="321" t="s">
        <v>304</v>
      </c>
      <c r="H1599" s="144">
        <f>bargiri[[#This Row],[میزان بارگیری شده]]*bargiri[[#This Row],[فی]]</f>
        <v>685800000</v>
      </c>
      <c r="I1599" s="321">
        <f>IF(year=bargiri[[#This Row],[سال]],1,0)</f>
        <v>0</v>
      </c>
    </row>
    <row r="1600" spans="1:9" ht="18.600000000000001" hidden="1" x14ac:dyDescent="0.25">
      <c r="A1600" s="321" t="s">
        <v>200</v>
      </c>
      <c r="B1600" s="321" t="s">
        <v>103</v>
      </c>
      <c r="C1600" s="318" t="s">
        <v>31</v>
      </c>
      <c r="D1600">
        <v>7490</v>
      </c>
      <c r="E1600" s="143">
        <v>90000</v>
      </c>
      <c r="F1600" s="117">
        <v>1403</v>
      </c>
      <c r="G1600" s="321" t="s">
        <v>311</v>
      </c>
      <c r="H1600" s="144">
        <f>bargiri[[#This Row],[میزان بارگیری شده]]*bargiri[[#This Row],[فی]]</f>
        <v>674100000</v>
      </c>
      <c r="I1600" s="321">
        <f>IF(year=bargiri[[#This Row],[سال]],1,0)</f>
        <v>0</v>
      </c>
    </row>
    <row r="1601" spans="1:9" ht="18.600000000000001" hidden="1" x14ac:dyDescent="0.25">
      <c r="A1601" s="321" t="s">
        <v>200</v>
      </c>
      <c r="B1601" s="321" t="s">
        <v>116</v>
      </c>
      <c r="C1601" s="318" t="s">
        <v>77</v>
      </c>
      <c r="D1601">
        <v>19770</v>
      </c>
      <c r="E1601" s="143">
        <v>68500</v>
      </c>
      <c r="F1601" s="117">
        <v>1403</v>
      </c>
      <c r="G1601" s="321" t="s">
        <v>311</v>
      </c>
      <c r="H1601" s="144">
        <f>bargiri[[#This Row],[میزان بارگیری شده]]*bargiri[[#This Row],[فی]]</f>
        <v>1354245000</v>
      </c>
      <c r="I1601" s="321">
        <f>IF(year=bargiri[[#This Row],[سال]],1,0)</f>
        <v>0</v>
      </c>
    </row>
    <row r="1602" spans="1:9" ht="18.600000000000001" hidden="1" x14ac:dyDescent="0.25">
      <c r="A1602" s="321" t="s">
        <v>200</v>
      </c>
      <c r="B1602" s="321" t="s">
        <v>102</v>
      </c>
      <c r="C1602" s="318" t="s">
        <v>27</v>
      </c>
      <c r="D1602">
        <v>11220</v>
      </c>
      <c r="E1602" s="143">
        <v>56000</v>
      </c>
      <c r="F1602" s="117">
        <v>1403</v>
      </c>
      <c r="G1602" s="321" t="s">
        <v>311</v>
      </c>
      <c r="H1602" s="144">
        <f>bargiri[[#This Row],[میزان بارگیری شده]]*bargiri[[#This Row],[فی]]</f>
        <v>628320000</v>
      </c>
      <c r="I1602" s="321">
        <f>IF(year=bargiri[[#This Row],[سال]],1,0)</f>
        <v>0</v>
      </c>
    </row>
    <row r="1603" spans="1:9" ht="18.600000000000001" hidden="1" x14ac:dyDescent="0.25">
      <c r="A1603" s="321" t="s">
        <v>200</v>
      </c>
      <c r="B1603" s="321" t="s">
        <v>106</v>
      </c>
      <c r="C1603" s="318" t="s">
        <v>49</v>
      </c>
      <c r="D1603">
        <v>20920</v>
      </c>
      <c r="E1603" s="143">
        <v>50000</v>
      </c>
      <c r="F1603" s="117">
        <v>1403</v>
      </c>
      <c r="G1603" s="321" t="s">
        <v>311</v>
      </c>
      <c r="H1603" s="144">
        <f>bargiri[[#This Row],[میزان بارگیری شده]]*bargiri[[#This Row],[فی]]</f>
        <v>1046000000</v>
      </c>
      <c r="I1603" s="321">
        <f>IF(year=bargiri[[#This Row],[سال]],1,0)</f>
        <v>0</v>
      </c>
    </row>
    <row r="1604" spans="1:9" ht="18.600000000000001" hidden="1" x14ac:dyDescent="0.25">
      <c r="A1604" s="321" t="s">
        <v>179</v>
      </c>
      <c r="B1604" s="321" t="s">
        <v>116</v>
      </c>
      <c r="C1604" s="318" t="s">
        <v>77</v>
      </c>
      <c r="D1604">
        <v>12010</v>
      </c>
      <c r="E1604" s="143">
        <v>68500</v>
      </c>
      <c r="F1604" s="117">
        <v>1403</v>
      </c>
      <c r="G1604" s="321" t="s">
        <v>311</v>
      </c>
      <c r="H1604" s="144">
        <f>bargiri[[#This Row],[میزان بارگیری شده]]*bargiri[[#This Row],[فی]]</f>
        <v>822685000</v>
      </c>
      <c r="I1604" s="321">
        <f>IF(year=bargiri[[#This Row],[سال]],1,0)</f>
        <v>0</v>
      </c>
    </row>
    <row r="1605" spans="1:9" ht="18.600000000000001" hidden="1" x14ac:dyDescent="0.25">
      <c r="A1605" s="321" t="s">
        <v>208</v>
      </c>
      <c r="B1605" s="321" t="s">
        <v>116</v>
      </c>
      <c r="C1605" s="318" t="s">
        <v>77</v>
      </c>
      <c r="D1605">
        <v>21870</v>
      </c>
      <c r="E1605" s="143">
        <v>68500</v>
      </c>
      <c r="F1605" s="117">
        <v>1403</v>
      </c>
      <c r="G1605" s="321" t="s">
        <v>311</v>
      </c>
      <c r="H1605" s="144">
        <f>bargiri[[#This Row],[میزان بارگیری شده]]*bargiri[[#This Row],[فی]]</f>
        <v>1498095000</v>
      </c>
      <c r="I1605" s="321">
        <f>IF(year=bargiri[[#This Row],[سال]],1,0)</f>
        <v>0</v>
      </c>
    </row>
    <row r="1606" spans="1:9" ht="18.600000000000001" hidden="1" x14ac:dyDescent="0.25">
      <c r="A1606" s="321" t="s">
        <v>208</v>
      </c>
      <c r="B1606" s="321" t="s">
        <v>102</v>
      </c>
      <c r="C1606" s="318" t="s">
        <v>27</v>
      </c>
      <c r="D1606">
        <v>12650</v>
      </c>
      <c r="E1606" s="143">
        <v>56000</v>
      </c>
      <c r="F1606" s="117">
        <v>1403</v>
      </c>
      <c r="G1606" s="321" t="s">
        <v>311</v>
      </c>
      <c r="H1606" s="144">
        <f>bargiri[[#This Row],[میزان بارگیری شده]]*bargiri[[#This Row],[فی]]</f>
        <v>708400000</v>
      </c>
      <c r="I1606" s="321">
        <f>IF(year=bargiri[[#This Row],[سال]],1,0)</f>
        <v>0</v>
      </c>
    </row>
    <row r="1607" spans="1:9" ht="18.600000000000001" hidden="1" x14ac:dyDescent="0.25">
      <c r="A1607" s="321" t="s">
        <v>208</v>
      </c>
      <c r="B1607" s="321" t="s">
        <v>108</v>
      </c>
      <c r="C1607" s="318" t="s">
        <v>53</v>
      </c>
      <c r="D1607">
        <v>20000</v>
      </c>
      <c r="E1607" s="143">
        <v>70000</v>
      </c>
      <c r="F1607" s="117">
        <v>1403</v>
      </c>
      <c r="G1607" s="321" t="s">
        <v>311</v>
      </c>
      <c r="H1607" s="144">
        <f>bargiri[[#This Row],[میزان بارگیری شده]]*bargiri[[#This Row],[فی]]</f>
        <v>1400000000</v>
      </c>
      <c r="I1607" s="321">
        <f>IF(year=bargiri[[#This Row],[سال]],1,0)</f>
        <v>0</v>
      </c>
    </row>
    <row r="1608" spans="1:9" ht="18.600000000000001" hidden="1" x14ac:dyDescent="0.25">
      <c r="A1608" s="321" t="s">
        <v>150</v>
      </c>
      <c r="B1608" s="321" t="s">
        <v>108</v>
      </c>
      <c r="C1608" s="318" t="s">
        <v>54</v>
      </c>
      <c r="D1608">
        <v>20070</v>
      </c>
      <c r="E1608" s="143">
        <v>80000</v>
      </c>
      <c r="F1608" s="117">
        <v>1403</v>
      </c>
      <c r="G1608" s="321" t="s">
        <v>305</v>
      </c>
      <c r="H1608" s="144">
        <f>bargiri[[#This Row],[میزان بارگیری شده]]*bargiri[[#This Row],[فی]]</f>
        <v>1605600000</v>
      </c>
      <c r="I1608" s="321">
        <f>IF(year=bargiri[[#This Row],[سال]],1,0)</f>
        <v>0</v>
      </c>
    </row>
    <row r="1609" spans="1:9" ht="18.600000000000001" hidden="1" x14ac:dyDescent="0.25">
      <c r="A1609" s="321" t="s">
        <v>209</v>
      </c>
      <c r="B1609" s="321" t="s">
        <v>108</v>
      </c>
      <c r="C1609" s="318" t="s">
        <v>55</v>
      </c>
      <c r="D1609">
        <v>20210</v>
      </c>
      <c r="E1609" s="143">
        <v>80000</v>
      </c>
      <c r="F1609" s="117">
        <v>1403</v>
      </c>
      <c r="G1609" s="321" t="s">
        <v>295</v>
      </c>
      <c r="H1609" s="144">
        <f>bargiri[[#This Row],[میزان بارگیری شده]]*bargiri[[#This Row],[فی]]</f>
        <v>1616800000</v>
      </c>
      <c r="I1609" s="321">
        <f>IF(year=bargiri[[#This Row],[سال]],1,0)</f>
        <v>0</v>
      </c>
    </row>
    <row r="1610" spans="1:9" ht="18.600000000000001" hidden="1" x14ac:dyDescent="0.25">
      <c r="A1610" s="321" t="s">
        <v>222</v>
      </c>
      <c r="B1610" s="321" t="s">
        <v>116</v>
      </c>
      <c r="C1610" s="318" t="s">
        <v>77</v>
      </c>
      <c r="D1610">
        <v>11980</v>
      </c>
      <c r="E1610" s="143">
        <v>68500</v>
      </c>
      <c r="F1610" s="117">
        <v>1403</v>
      </c>
      <c r="G1610" s="321" t="s">
        <v>305</v>
      </c>
      <c r="H1610" s="144">
        <f>bargiri[[#This Row],[میزان بارگیری شده]]*bargiri[[#This Row],[فی]]</f>
        <v>820630000</v>
      </c>
      <c r="I1610" s="321">
        <f>IF(year=bargiri[[#This Row],[سال]],1,0)</f>
        <v>0</v>
      </c>
    </row>
    <row r="1611" spans="1:9" ht="18.600000000000001" hidden="1" x14ac:dyDescent="0.25">
      <c r="A1611" s="321" t="s">
        <v>480</v>
      </c>
      <c r="B1611" s="321" t="s">
        <v>116</v>
      </c>
      <c r="C1611" s="318" t="s">
        <v>77</v>
      </c>
      <c r="D1611">
        <v>20160</v>
      </c>
      <c r="E1611" s="143">
        <v>68500</v>
      </c>
      <c r="F1611" s="117">
        <v>1403</v>
      </c>
      <c r="G1611" s="321" t="s">
        <v>305</v>
      </c>
      <c r="H1611" s="144">
        <f>bargiri[[#This Row],[میزان بارگیری شده]]*bargiri[[#This Row],[فی]]</f>
        <v>1380960000</v>
      </c>
      <c r="I1611" s="321">
        <f>IF(year=bargiri[[#This Row],[سال]],1,0)</f>
        <v>0</v>
      </c>
    </row>
    <row r="1612" spans="1:9" ht="18.600000000000001" hidden="1" x14ac:dyDescent="0.25">
      <c r="A1612" s="321" t="s">
        <v>222</v>
      </c>
      <c r="B1612" s="321" t="s">
        <v>116</v>
      </c>
      <c r="C1612" s="318" t="s">
        <v>77</v>
      </c>
      <c r="D1612">
        <v>20160</v>
      </c>
      <c r="E1612" s="143">
        <v>68500</v>
      </c>
      <c r="F1612" s="117">
        <v>1403</v>
      </c>
      <c r="G1612" s="321" t="s">
        <v>305</v>
      </c>
      <c r="H1612" s="144">
        <f>bargiri[[#This Row],[میزان بارگیری شده]]*bargiri[[#This Row],[فی]]</f>
        <v>1380960000</v>
      </c>
      <c r="I1612" s="321">
        <f>IF(year=bargiri[[#This Row],[سال]],1,0)</f>
        <v>0</v>
      </c>
    </row>
    <row r="1613" spans="1:9" ht="18.600000000000001" x14ac:dyDescent="0.25">
      <c r="A1613" s="321" t="s">
        <v>480</v>
      </c>
      <c r="B1613" s="321" t="s">
        <v>118</v>
      </c>
      <c r="C1613" s="318" t="s">
        <v>85</v>
      </c>
      <c r="D1613">
        <v>20420</v>
      </c>
      <c r="E1613" s="143">
        <v>56881</v>
      </c>
      <c r="F1613" s="117">
        <v>1403</v>
      </c>
      <c r="G1613" s="321" t="s">
        <v>305</v>
      </c>
      <c r="H1613" s="144">
        <f>bargiri[[#This Row],[میزان بارگیری شده]]*bargiri[[#This Row],[فی]]</f>
        <v>1161510020</v>
      </c>
      <c r="I1613" s="321">
        <f>IF(year=bargiri[[#This Row],[سال]],1,0)</f>
        <v>0</v>
      </c>
    </row>
    <row r="1614" spans="1:9" ht="18.600000000000001" x14ac:dyDescent="0.25">
      <c r="A1614" s="321" t="s">
        <v>480</v>
      </c>
      <c r="B1614" s="321" t="s">
        <v>118</v>
      </c>
      <c r="C1614" s="318" t="s">
        <v>85</v>
      </c>
      <c r="D1614">
        <v>20370</v>
      </c>
      <c r="E1614" s="143">
        <v>56881</v>
      </c>
      <c r="F1614" s="117">
        <v>1403</v>
      </c>
      <c r="G1614" s="321" t="s">
        <v>305</v>
      </c>
      <c r="H1614" s="144">
        <f>bargiri[[#This Row],[میزان بارگیری شده]]*bargiri[[#This Row],[فی]]</f>
        <v>1158665970</v>
      </c>
      <c r="I1614" s="321">
        <f>IF(year=bargiri[[#This Row],[سال]],1,0)</f>
        <v>0</v>
      </c>
    </row>
    <row r="1615" spans="1:9" ht="18.600000000000001" hidden="1" x14ac:dyDescent="0.25">
      <c r="A1615" s="321" t="s">
        <v>480</v>
      </c>
      <c r="B1615" s="321" t="s">
        <v>99</v>
      </c>
      <c r="C1615" s="318" t="s">
        <v>14</v>
      </c>
      <c r="D1615">
        <v>17920</v>
      </c>
      <c r="E1615" s="143">
        <v>50000</v>
      </c>
      <c r="F1615" s="117">
        <v>1403</v>
      </c>
      <c r="G1615" s="321" t="s">
        <v>305</v>
      </c>
      <c r="H1615" s="144">
        <f>bargiri[[#This Row],[میزان بارگیری شده]]*bargiri[[#This Row],[فی]]</f>
        <v>896000000</v>
      </c>
      <c r="I1615" s="321">
        <f>IF(year=bargiri[[#This Row],[سال]],1,0)</f>
        <v>0</v>
      </c>
    </row>
    <row r="1616" spans="1:9" ht="18.600000000000001" hidden="1" x14ac:dyDescent="0.25">
      <c r="A1616" s="321" t="s">
        <v>222</v>
      </c>
      <c r="B1616" s="321" t="s">
        <v>99</v>
      </c>
      <c r="C1616" s="318" t="s">
        <v>14</v>
      </c>
      <c r="D1616">
        <v>9920</v>
      </c>
      <c r="E1616" s="143">
        <v>50000</v>
      </c>
      <c r="F1616" s="117">
        <v>1403</v>
      </c>
      <c r="G1616" s="321" t="s">
        <v>305</v>
      </c>
      <c r="H1616" s="144">
        <f>bargiri[[#This Row],[میزان بارگیری شده]]*bargiri[[#This Row],[فی]]</f>
        <v>496000000</v>
      </c>
      <c r="I1616" s="321">
        <f>IF(year=bargiri[[#This Row],[سال]],1,0)</f>
        <v>0</v>
      </c>
    </row>
    <row r="1617" spans="1:9" ht="18.600000000000001" hidden="1" x14ac:dyDescent="0.25">
      <c r="A1617" s="321" t="s">
        <v>222</v>
      </c>
      <c r="B1617" s="321" t="s">
        <v>103</v>
      </c>
      <c r="C1617" s="318" t="s">
        <v>31</v>
      </c>
      <c r="D1617">
        <v>7770</v>
      </c>
      <c r="E1617" s="143">
        <v>90000</v>
      </c>
      <c r="F1617" s="117">
        <v>1403</v>
      </c>
      <c r="G1617" s="321" t="s">
        <v>305</v>
      </c>
      <c r="H1617" s="144">
        <f>bargiri[[#This Row],[میزان بارگیری شده]]*bargiri[[#This Row],[فی]]</f>
        <v>699300000</v>
      </c>
      <c r="I1617" s="321">
        <f>IF(year=bargiri[[#This Row],[سال]],1,0)</f>
        <v>0</v>
      </c>
    </row>
    <row r="1618" spans="1:9" ht="18.600000000000001" hidden="1" x14ac:dyDescent="0.25">
      <c r="A1618" s="321" t="s">
        <v>222</v>
      </c>
      <c r="B1618" s="321" t="s">
        <v>117</v>
      </c>
      <c r="C1618" s="318" t="s">
        <v>83</v>
      </c>
      <c r="D1618">
        <v>6550</v>
      </c>
      <c r="E1618" s="143">
        <v>55000</v>
      </c>
      <c r="F1618" s="117">
        <v>1403</v>
      </c>
      <c r="G1618" s="321" t="s">
        <v>305</v>
      </c>
      <c r="H1618" s="144">
        <f>bargiri[[#This Row],[میزان بارگیری شده]]*bargiri[[#This Row],[فی]]</f>
        <v>360250000</v>
      </c>
      <c r="I1618" s="321">
        <f>IF(year=bargiri[[#This Row],[سال]],1,0)</f>
        <v>0</v>
      </c>
    </row>
    <row r="1619" spans="1:9" ht="18.600000000000001" x14ac:dyDescent="0.25">
      <c r="A1619" s="321" t="s">
        <v>222</v>
      </c>
      <c r="B1619" s="321" t="s">
        <v>118</v>
      </c>
      <c r="C1619" s="318" t="s">
        <v>85</v>
      </c>
      <c r="D1619">
        <v>20930</v>
      </c>
      <c r="E1619" s="143">
        <v>56881</v>
      </c>
      <c r="F1619" s="117">
        <v>1403</v>
      </c>
      <c r="G1619" s="321" t="s">
        <v>305</v>
      </c>
      <c r="H1619" s="144">
        <f>bargiri[[#This Row],[میزان بارگیری شده]]*bargiri[[#This Row],[فی]]</f>
        <v>1190519330</v>
      </c>
      <c r="I1619" s="321">
        <f>IF(year=bargiri[[#This Row],[سال]],1,0)</f>
        <v>0</v>
      </c>
    </row>
    <row r="1620" spans="1:9" ht="18.600000000000001" x14ac:dyDescent="0.25">
      <c r="A1620" s="321" t="s">
        <v>222</v>
      </c>
      <c r="B1620" s="321" t="s">
        <v>118</v>
      </c>
      <c r="C1620" s="318" t="s">
        <v>85</v>
      </c>
      <c r="D1620">
        <v>21260</v>
      </c>
      <c r="E1620" s="143">
        <v>56881</v>
      </c>
      <c r="F1620" s="117">
        <v>1403</v>
      </c>
      <c r="G1620" s="321" t="s">
        <v>305</v>
      </c>
      <c r="H1620" s="144">
        <f>bargiri[[#This Row],[میزان بارگیری شده]]*bargiri[[#This Row],[فی]]</f>
        <v>1209290060</v>
      </c>
      <c r="I1620" s="321">
        <f>IF(year=bargiri[[#This Row],[سال]],1,0)</f>
        <v>0</v>
      </c>
    </row>
    <row r="1621" spans="1:9" ht="18.600000000000001" x14ac:dyDescent="0.25">
      <c r="A1621" s="321" t="s">
        <v>222</v>
      </c>
      <c r="B1621" s="321" t="s">
        <v>118</v>
      </c>
      <c r="C1621" s="318" t="s">
        <v>85</v>
      </c>
      <c r="D1621">
        <v>21280</v>
      </c>
      <c r="E1621" s="143">
        <v>56881</v>
      </c>
      <c r="F1621" s="117">
        <v>1403</v>
      </c>
      <c r="G1621" s="321" t="s">
        <v>305</v>
      </c>
      <c r="H1621" s="144">
        <f>bargiri[[#This Row],[میزان بارگیری شده]]*bargiri[[#This Row],[فی]]</f>
        <v>1210427680</v>
      </c>
      <c r="I1621" s="321">
        <f>IF(year=bargiri[[#This Row],[سال]],1,0)</f>
        <v>0</v>
      </c>
    </row>
    <row r="1622" spans="1:9" ht="18.600000000000001" hidden="1" x14ac:dyDescent="0.25">
      <c r="A1622" s="321" t="s">
        <v>222</v>
      </c>
      <c r="B1622" s="321" t="s">
        <v>103</v>
      </c>
      <c r="C1622" s="318" t="s">
        <v>31</v>
      </c>
      <c r="D1622">
        <v>6000</v>
      </c>
      <c r="E1622" s="143">
        <v>90000</v>
      </c>
      <c r="F1622" s="117">
        <v>1403</v>
      </c>
      <c r="G1622" s="321" t="s">
        <v>305</v>
      </c>
      <c r="H1622" s="144">
        <f>bargiri[[#This Row],[میزان بارگیری شده]]*bargiri[[#This Row],[فی]]</f>
        <v>540000000</v>
      </c>
      <c r="I1622" s="321">
        <f>IF(year=bargiri[[#This Row],[سال]],1,0)</f>
        <v>0</v>
      </c>
    </row>
    <row r="1623" spans="1:9" ht="18.600000000000001" hidden="1" x14ac:dyDescent="0.25">
      <c r="A1623" s="321" t="s">
        <v>475</v>
      </c>
      <c r="B1623" s="321" t="s">
        <v>117</v>
      </c>
      <c r="C1623" s="318" t="s">
        <v>83</v>
      </c>
      <c r="D1623">
        <v>5810</v>
      </c>
      <c r="E1623" s="143">
        <v>55000</v>
      </c>
      <c r="F1623" s="117">
        <v>1403</v>
      </c>
      <c r="G1623" s="321" t="s">
        <v>305</v>
      </c>
      <c r="H1623" s="144">
        <f>bargiri[[#This Row],[میزان بارگیری شده]]*bargiri[[#This Row],[فی]]</f>
        <v>319550000</v>
      </c>
      <c r="I1623" s="321">
        <f>IF(year=bargiri[[#This Row],[سال]],1,0)</f>
        <v>0</v>
      </c>
    </row>
    <row r="1624" spans="1:9" ht="18.600000000000001" hidden="1" x14ac:dyDescent="0.25">
      <c r="A1624" s="321" t="s">
        <v>475</v>
      </c>
      <c r="B1624" s="321" t="s">
        <v>117</v>
      </c>
      <c r="C1624" s="318" t="s">
        <v>83</v>
      </c>
      <c r="D1624">
        <v>4900</v>
      </c>
      <c r="E1624" s="143">
        <v>55000</v>
      </c>
      <c r="F1624" s="117">
        <v>1403</v>
      </c>
      <c r="G1624" s="321" t="s">
        <v>305</v>
      </c>
      <c r="H1624" s="144">
        <f>bargiri[[#This Row],[میزان بارگیری شده]]*bargiri[[#This Row],[فی]]</f>
        <v>269500000</v>
      </c>
      <c r="I1624" s="321">
        <f>IF(year=bargiri[[#This Row],[سال]],1,0)</f>
        <v>0</v>
      </c>
    </row>
    <row r="1625" spans="1:9" ht="18.600000000000001" hidden="1" x14ac:dyDescent="0.25">
      <c r="A1625" s="321" t="s">
        <v>481</v>
      </c>
      <c r="B1625" s="321" t="s">
        <v>98</v>
      </c>
      <c r="C1625" s="318" t="s">
        <v>11</v>
      </c>
      <c r="D1625">
        <v>22880</v>
      </c>
      <c r="E1625" s="143">
        <v>77000</v>
      </c>
      <c r="F1625" s="117">
        <v>1403</v>
      </c>
      <c r="G1625" s="321" t="s">
        <v>305</v>
      </c>
      <c r="H1625" s="144">
        <f>bargiri[[#This Row],[میزان بارگیری شده]]*bargiri[[#This Row],[فی]]</f>
        <v>1761760000</v>
      </c>
      <c r="I1625" s="321">
        <f>IF(year=bargiri[[#This Row],[سال]],1,0)</f>
        <v>0</v>
      </c>
    </row>
    <row r="1626" spans="1:9" ht="18.600000000000001" hidden="1" x14ac:dyDescent="0.25">
      <c r="A1626" s="321" t="s">
        <v>481</v>
      </c>
      <c r="B1626" s="321" t="s">
        <v>98</v>
      </c>
      <c r="C1626" s="318" t="s">
        <v>11</v>
      </c>
      <c r="D1626">
        <v>23210</v>
      </c>
      <c r="E1626" s="143">
        <v>77000</v>
      </c>
      <c r="F1626" s="117">
        <v>1403</v>
      </c>
      <c r="G1626" s="321" t="s">
        <v>305</v>
      </c>
      <c r="H1626" s="144">
        <f>bargiri[[#This Row],[میزان بارگیری شده]]*bargiri[[#This Row],[فی]]</f>
        <v>1787170000</v>
      </c>
      <c r="I1626" s="321">
        <f>IF(year=bargiri[[#This Row],[سال]],1,0)</f>
        <v>0</v>
      </c>
    </row>
    <row r="1627" spans="1:9" ht="18.600000000000001" hidden="1" x14ac:dyDescent="0.25">
      <c r="A1627" s="321" t="s">
        <v>481</v>
      </c>
      <c r="B1627" s="321" t="s">
        <v>99</v>
      </c>
      <c r="C1627" s="318" t="s">
        <v>14</v>
      </c>
      <c r="D1627">
        <v>18510</v>
      </c>
      <c r="E1627" s="143">
        <v>50000</v>
      </c>
      <c r="F1627" s="117">
        <v>1403</v>
      </c>
      <c r="G1627" s="321" t="s">
        <v>305</v>
      </c>
      <c r="H1627" s="144">
        <f>bargiri[[#This Row],[میزان بارگیری شده]]*bargiri[[#This Row],[فی]]</f>
        <v>925500000</v>
      </c>
      <c r="I1627" s="321">
        <f>IF(year=bargiri[[#This Row],[سال]],1,0)</f>
        <v>0</v>
      </c>
    </row>
    <row r="1628" spans="1:9" ht="18.600000000000001" hidden="1" x14ac:dyDescent="0.25">
      <c r="A1628" s="321" t="s">
        <v>476</v>
      </c>
      <c r="B1628" s="321" t="s">
        <v>103</v>
      </c>
      <c r="C1628" s="318" t="s">
        <v>31</v>
      </c>
      <c r="D1628">
        <v>7410</v>
      </c>
      <c r="E1628" s="143">
        <v>90000</v>
      </c>
      <c r="F1628" s="117">
        <v>1403</v>
      </c>
      <c r="G1628" s="321" t="s">
        <v>305</v>
      </c>
      <c r="H1628" s="144">
        <f>bargiri[[#This Row],[میزان بارگیری شده]]*bargiri[[#This Row],[فی]]</f>
        <v>666900000</v>
      </c>
      <c r="I1628" s="321">
        <f>IF(year=bargiri[[#This Row],[سال]],1,0)</f>
        <v>0</v>
      </c>
    </row>
    <row r="1629" spans="1:9" ht="18.600000000000001" x14ac:dyDescent="0.25">
      <c r="A1629" s="321" t="s">
        <v>482</v>
      </c>
      <c r="B1629" s="321" t="s">
        <v>118</v>
      </c>
      <c r="C1629" s="318" t="s">
        <v>85</v>
      </c>
      <c r="D1629">
        <v>20600</v>
      </c>
      <c r="E1629" s="143">
        <v>56881</v>
      </c>
      <c r="F1629" s="117">
        <v>1403</v>
      </c>
      <c r="G1629" s="321" t="s">
        <v>305</v>
      </c>
      <c r="H1629" s="144">
        <f>bargiri[[#This Row],[میزان بارگیری شده]]*bargiri[[#This Row],[فی]]</f>
        <v>1171748600</v>
      </c>
      <c r="I1629" s="321">
        <f>IF(year=bargiri[[#This Row],[سال]],1,0)</f>
        <v>0</v>
      </c>
    </row>
    <row r="1630" spans="1:9" ht="18.600000000000001" x14ac:dyDescent="0.25">
      <c r="A1630" s="321" t="s">
        <v>482</v>
      </c>
      <c r="B1630" s="321" t="s">
        <v>118</v>
      </c>
      <c r="C1630" s="318" t="s">
        <v>85</v>
      </c>
      <c r="D1630">
        <v>20990</v>
      </c>
      <c r="E1630" s="143">
        <v>56881</v>
      </c>
      <c r="F1630" s="117">
        <v>1403</v>
      </c>
      <c r="G1630" s="321" t="s">
        <v>305</v>
      </c>
      <c r="H1630" s="144">
        <f>bargiri[[#This Row],[میزان بارگیری شده]]*bargiri[[#This Row],[فی]]</f>
        <v>1193932190</v>
      </c>
      <c r="I1630" s="321">
        <f>IF(year=bargiri[[#This Row],[سال]],1,0)</f>
        <v>0</v>
      </c>
    </row>
    <row r="1631" spans="1:9" ht="18.600000000000001" x14ac:dyDescent="0.25">
      <c r="A1631" s="321" t="s">
        <v>482</v>
      </c>
      <c r="B1631" s="321" t="s">
        <v>118</v>
      </c>
      <c r="C1631" s="318" t="s">
        <v>85</v>
      </c>
      <c r="D1631">
        <v>20410</v>
      </c>
      <c r="E1631" s="143">
        <v>56881</v>
      </c>
      <c r="F1631" s="117">
        <v>1403</v>
      </c>
      <c r="G1631" s="321" t="s">
        <v>305</v>
      </c>
      <c r="H1631" s="144">
        <f>bargiri[[#This Row],[میزان بارگیری شده]]*bargiri[[#This Row],[فی]]</f>
        <v>1160941210</v>
      </c>
      <c r="I1631" s="321">
        <f>IF(year=bargiri[[#This Row],[سال]],1,0)</f>
        <v>0</v>
      </c>
    </row>
    <row r="1632" spans="1:9" ht="18.600000000000001" x14ac:dyDescent="0.25">
      <c r="A1632" s="321" t="s">
        <v>482</v>
      </c>
      <c r="B1632" s="321" t="s">
        <v>118</v>
      </c>
      <c r="C1632" s="318" t="s">
        <v>85</v>
      </c>
      <c r="D1632">
        <v>20650</v>
      </c>
      <c r="E1632" s="143">
        <v>56881</v>
      </c>
      <c r="F1632" s="117">
        <v>1403</v>
      </c>
      <c r="G1632" s="321" t="s">
        <v>305</v>
      </c>
      <c r="H1632" s="144">
        <f>bargiri[[#This Row],[میزان بارگیری شده]]*bargiri[[#This Row],[فی]]</f>
        <v>1174592650</v>
      </c>
      <c r="I1632" s="321">
        <f>IF(year=bargiri[[#This Row],[سال]],1,0)</f>
        <v>0</v>
      </c>
    </row>
    <row r="1633" spans="1:9" ht="18.600000000000001" hidden="1" x14ac:dyDescent="0.25">
      <c r="A1633" s="321" t="s">
        <v>483</v>
      </c>
      <c r="B1633" s="321" t="s">
        <v>103</v>
      </c>
      <c r="C1633" s="318" t="s">
        <v>31</v>
      </c>
      <c r="D1633">
        <v>7620</v>
      </c>
      <c r="E1633" s="143">
        <v>90000</v>
      </c>
      <c r="F1633" s="117">
        <v>1403</v>
      </c>
      <c r="G1633" s="321" t="s">
        <v>305</v>
      </c>
      <c r="H1633" s="144">
        <f>bargiri[[#This Row],[میزان بارگیری شده]]*bargiri[[#This Row],[فی]]</f>
        <v>685800000</v>
      </c>
      <c r="I1633" s="321">
        <f>IF(year=bargiri[[#This Row],[سال]],1,0)</f>
        <v>0</v>
      </c>
    </row>
    <row r="1634" spans="1:9" ht="18.600000000000001" hidden="1" x14ac:dyDescent="0.25">
      <c r="A1634" s="321" t="s">
        <v>483</v>
      </c>
      <c r="B1634" s="321" t="s">
        <v>102</v>
      </c>
      <c r="C1634" s="318" t="s">
        <v>27</v>
      </c>
      <c r="D1634">
        <v>11990</v>
      </c>
      <c r="E1634" s="143">
        <v>56000</v>
      </c>
      <c r="F1634" s="117">
        <v>1403</v>
      </c>
      <c r="G1634" s="321" t="s">
        <v>305</v>
      </c>
      <c r="H1634" s="144">
        <f>bargiri[[#This Row],[میزان بارگیری شده]]*bargiri[[#This Row],[فی]]</f>
        <v>671440000</v>
      </c>
      <c r="I1634" s="321">
        <f>IF(year=bargiri[[#This Row],[سال]],1,0)</f>
        <v>0</v>
      </c>
    </row>
    <row r="1635" spans="1:9" ht="18.600000000000001" hidden="1" x14ac:dyDescent="0.25">
      <c r="A1635" s="321" t="s">
        <v>484</v>
      </c>
      <c r="B1635" s="321" t="s">
        <v>116</v>
      </c>
      <c r="C1635" s="318" t="s">
        <v>77</v>
      </c>
      <c r="D1635">
        <v>20620</v>
      </c>
      <c r="E1635" s="143">
        <v>68500</v>
      </c>
      <c r="F1635" s="117">
        <v>1403</v>
      </c>
      <c r="G1635" s="321" t="s">
        <v>305</v>
      </c>
      <c r="H1635" s="144">
        <f>bargiri[[#This Row],[میزان بارگیری شده]]*bargiri[[#This Row],[فی]]</f>
        <v>1412470000</v>
      </c>
      <c r="I1635" s="321">
        <f>IF(year=bargiri[[#This Row],[سال]],1,0)</f>
        <v>0</v>
      </c>
    </row>
    <row r="1636" spans="1:9" ht="18.600000000000001" x14ac:dyDescent="0.25">
      <c r="A1636" s="321" t="s">
        <v>484</v>
      </c>
      <c r="B1636" s="321" t="s">
        <v>118</v>
      </c>
      <c r="C1636" s="318" t="s">
        <v>85</v>
      </c>
      <c r="D1636">
        <v>21080</v>
      </c>
      <c r="E1636" s="143">
        <v>56881</v>
      </c>
      <c r="F1636" s="117">
        <v>1403</v>
      </c>
      <c r="G1636" s="321" t="s">
        <v>305</v>
      </c>
      <c r="H1636" s="144">
        <f>bargiri[[#This Row],[میزان بارگیری شده]]*bargiri[[#This Row],[فی]]</f>
        <v>1199051480</v>
      </c>
      <c r="I1636" s="321">
        <f>IF(year=bargiri[[#This Row],[سال]],1,0)</f>
        <v>0</v>
      </c>
    </row>
    <row r="1637" spans="1:9" ht="18.600000000000001" x14ac:dyDescent="0.25">
      <c r="A1637" s="321" t="s">
        <v>484</v>
      </c>
      <c r="B1637" s="321" t="s">
        <v>118</v>
      </c>
      <c r="C1637" s="318" t="s">
        <v>85</v>
      </c>
      <c r="D1637">
        <v>20170</v>
      </c>
      <c r="E1637" s="143">
        <v>56881</v>
      </c>
      <c r="F1637" s="117">
        <v>1403</v>
      </c>
      <c r="G1637" s="321" t="s">
        <v>305</v>
      </c>
      <c r="H1637" s="144">
        <f>bargiri[[#This Row],[میزان بارگیری شده]]*bargiri[[#This Row],[فی]]</f>
        <v>1147289770</v>
      </c>
      <c r="I1637" s="321">
        <f>IF(year=bargiri[[#This Row],[سال]],1,0)</f>
        <v>0</v>
      </c>
    </row>
    <row r="1638" spans="1:9" ht="18.600000000000001" hidden="1" x14ac:dyDescent="0.25">
      <c r="A1638" s="321" t="s">
        <v>484</v>
      </c>
      <c r="B1638" s="321" t="s">
        <v>116</v>
      </c>
      <c r="C1638" s="318" t="s">
        <v>77</v>
      </c>
      <c r="D1638">
        <v>20220</v>
      </c>
      <c r="E1638" s="143">
        <v>68500</v>
      </c>
      <c r="F1638" s="117">
        <v>1403</v>
      </c>
      <c r="G1638" s="321" t="s">
        <v>305</v>
      </c>
      <c r="H1638" s="144">
        <f>bargiri[[#This Row],[میزان بارگیری شده]]*bargiri[[#This Row],[فی]]</f>
        <v>1385070000</v>
      </c>
      <c r="I1638" s="321">
        <f>IF(year=bargiri[[#This Row],[سال]],1,0)</f>
        <v>0</v>
      </c>
    </row>
    <row r="1639" spans="1:9" ht="18.600000000000001" hidden="1" x14ac:dyDescent="0.25">
      <c r="A1639" s="321" t="s">
        <v>484</v>
      </c>
      <c r="B1639" s="321" t="s">
        <v>98</v>
      </c>
      <c r="C1639" s="318" t="s">
        <v>11</v>
      </c>
      <c r="D1639">
        <v>23110</v>
      </c>
      <c r="E1639" s="143">
        <v>77000</v>
      </c>
      <c r="F1639" s="117">
        <v>1403</v>
      </c>
      <c r="G1639" s="321" t="s">
        <v>305</v>
      </c>
      <c r="H1639" s="144">
        <f>bargiri[[#This Row],[میزان بارگیری شده]]*bargiri[[#This Row],[فی]]</f>
        <v>1779470000</v>
      </c>
      <c r="I1639" s="321">
        <f>IF(year=bargiri[[#This Row],[سال]],1,0)</f>
        <v>0</v>
      </c>
    </row>
    <row r="1640" spans="1:9" ht="18.600000000000001" hidden="1" x14ac:dyDescent="0.25">
      <c r="A1640" s="321" t="s">
        <v>484</v>
      </c>
      <c r="B1640" s="321" t="s">
        <v>103</v>
      </c>
      <c r="C1640" s="318" t="s">
        <v>31</v>
      </c>
      <c r="D1640">
        <v>7540</v>
      </c>
      <c r="E1640" s="143">
        <v>90000</v>
      </c>
      <c r="F1640" s="117">
        <v>1403</v>
      </c>
      <c r="G1640" s="321" t="s">
        <v>305</v>
      </c>
      <c r="H1640" s="144">
        <f>bargiri[[#This Row],[میزان بارگیری شده]]*bargiri[[#This Row],[فی]]</f>
        <v>678600000</v>
      </c>
      <c r="I1640" s="321">
        <f>IF(year=bargiri[[#This Row],[سال]],1,0)</f>
        <v>0</v>
      </c>
    </row>
    <row r="1641" spans="1:9" ht="18.600000000000001" hidden="1" x14ac:dyDescent="0.25">
      <c r="A1641" s="321" t="s">
        <v>190</v>
      </c>
      <c r="B1641" s="321" t="s">
        <v>103</v>
      </c>
      <c r="C1641" s="318" t="s">
        <v>31</v>
      </c>
      <c r="D1641">
        <v>7290</v>
      </c>
      <c r="E1641" s="143">
        <v>90000</v>
      </c>
      <c r="F1641" s="117">
        <v>1403</v>
      </c>
      <c r="G1641" s="321" t="s">
        <v>305</v>
      </c>
      <c r="H1641" s="144">
        <f>bargiri[[#This Row],[میزان بارگیری شده]]*bargiri[[#This Row],[فی]]</f>
        <v>656100000</v>
      </c>
      <c r="I1641" s="321">
        <f>IF(year=bargiri[[#This Row],[سال]],1,0)</f>
        <v>0</v>
      </c>
    </row>
    <row r="1642" spans="1:9" ht="18.600000000000001" hidden="1" x14ac:dyDescent="0.25">
      <c r="A1642" s="321" t="s">
        <v>190</v>
      </c>
      <c r="B1642" s="321" t="s">
        <v>99</v>
      </c>
      <c r="C1642" s="318" t="s">
        <v>14</v>
      </c>
      <c r="D1642">
        <v>18280</v>
      </c>
      <c r="E1642" s="143">
        <v>50000</v>
      </c>
      <c r="F1642" s="117">
        <v>1403</v>
      </c>
      <c r="G1642" s="321" t="s">
        <v>305</v>
      </c>
      <c r="H1642" s="144">
        <f>bargiri[[#This Row],[میزان بارگیری شده]]*bargiri[[#This Row],[فی]]</f>
        <v>914000000</v>
      </c>
      <c r="I1642" s="321">
        <f>IF(year=bargiri[[#This Row],[سال]],1,0)</f>
        <v>0</v>
      </c>
    </row>
    <row r="1643" spans="1:9" ht="18.600000000000001" hidden="1" x14ac:dyDescent="0.25">
      <c r="A1643" s="321" t="s">
        <v>150</v>
      </c>
      <c r="B1643" s="321" t="s">
        <v>103</v>
      </c>
      <c r="C1643" s="318" t="s">
        <v>31</v>
      </c>
      <c r="D1643">
        <v>7510</v>
      </c>
      <c r="E1643" s="143">
        <v>90000</v>
      </c>
      <c r="F1643" s="117">
        <v>1403</v>
      </c>
      <c r="G1643" s="321" t="s">
        <v>305</v>
      </c>
      <c r="H1643" s="144">
        <f>bargiri[[#This Row],[میزان بارگیری شده]]*bargiri[[#This Row],[فی]]</f>
        <v>675900000</v>
      </c>
      <c r="I1643" s="321">
        <f>IF(year=bargiri[[#This Row],[سال]],1,0)</f>
        <v>0</v>
      </c>
    </row>
    <row r="1644" spans="1:9" ht="18.600000000000001" hidden="1" x14ac:dyDescent="0.25">
      <c r="A1644" s="321" t="s">
        <v>150</v>
      </c>
      <c r="B1644" s="321" t="s">
        <v>103</v>
      </c>
      <c r="C1644" s="318" t="s">
        <v>31</v>
      </c>
      <c r="D1644">
        <v>7530</v>
      </c>
      <c r="E1644" s="143">
        <v>90000</v>
      </c>
      <c r="F1644" s="117">
        <v>1403</v>
      </c>
      <c r="G1644" s="321" t="s">
        <v>305</v>
      </c>
      <c r="H1644" s="144">
        <f>bargiri[[#This Row],[میزان بارگیری شده]]*bargiri[[#This Row],[فی]]</f>
        <v>677700000</v>
      </c>
      <c r="I1644" s="321">
        <f>IF(year=bargiri[[#This Row],[سال]],1,0)</f>
        <v>0</v>
      </c>
    </row>
    <row r="1645" spans="1:9" ht="18.600000000000001" hidden="1" x14ac:dyDescent="0.25">
      <c r="A1645" s="321" t="s">
        <v>150</v>
      </c>
      <c r="B1645" s="321" t="s">
        <v>103</v>
      </c>
      <c r="C1645" s="318" t="s">
        <v>31</v>
      </c>
      <c r="D1645">
        <v>7430</v>
      </c>
      <c r="E1645" s="143">
        <v>90000</v>
      </c>
      <c r="F1645" s="117">
        <v>1403</v>
      </c>
      <c r="G1645" s="321" t="s">
        <v>305</v>
      </c>
      <c r="H1645" s="144">
        <f>bargiri[[#This Row],[میزان بارگیری شده]]*bargiri[[#This Row],[فی]]</f>
        <v>668700000</v>
      </c>
      <c r="I1645" s="321">
        <f>IF(year=bargiri[[#This Row],[سال]],1,0)</f>
        <v>0</v>
      </c>
    </row>
    <row r="1646" spans="1:9" ht="18.600000000000001" hidden="1" x14ac:dyDescent="0.25">
      <c r="A1646" s="321" t="s">
        <v>150</v>
      </c>
      <c r="B1646" s="321" t="s">
        <v>103</v>
      </c>
      <c r="C1646" s="318" t="s">
        <v>32</v>
      </c>
      <c r="D1646">
        <v>180</v>
      </c>
      <c r="E1646" s="143">
        <v>80000</v>
      </c>
      <c r="F1646" s="117">
        <v>1403</v>
      </c>
      <c r="G1646" s="321" t="s">
        <v>305</v>
      </c>
      <c r="H1646" s="144">
        <f>bargiri[[#This Row],[میزان بارگیری شده]]*bargiri[[#This Row],[فی]]</f>
        <v>14400000</v>
      </c>
      <c r="I1646" s="321">
        <f>IF(year=bargiri[[#This Row],[سال]],1,0)</f>
        <v>0</v>
      </c>
    </row>
    <row r="1647" spans="1:9" ht="18.600000000000001" hidden="1" x14ac:dyDescent="0.25">
      <c r="A1647" s="321" t="s">
        <v>150</v>
      </c>
      <c r="B1647" s="321" t="s">
        <v>102</v>
      </c>
      <c r="C1647" s="318" t="s">
        <v>27</v>
      </c>
      <c r="D1647">
        <v>12160</v>
      </c>
      <c r="E1647" s="143">
        <v>56000</v>
      </c>
      <c r="F1647" s="117">
        <v>1403</v>
      </c>
      <c r="G1647" s="321" t="s">
        <v>305</v>
      </c>
      <c r="H1647" s="144">
        <f>bargiri[[#This Row],[میزان بارگیری شده]]*bargiri[[#This Row],[فی]]</f>
        <v>680960000</v>
      </c>
      <c r="I1647" s="321">
        <f>IF(year=bargiri[[#This Row],[سال]],1,0)</f>
        <v>0</v>
      </c>
    </row>
    <row r="1648" spans="1:9" ht="18.600000000000001" hidden="1" x14ac:dyDescent="0.25">
      <c r="A1648" s="321" t="s">
        <v>150</v>
      </c>
      <c r="B1648" s="321" t="s">
        <v>98</v>
      </c>
      <c r="C1648" s="318" t="s">
        <v>11</v>
      </c>
      <c r="D1648">
        <v>22060</v>
      </c>
      <c r="E1648" s="143">
        <v>77000</v>
      </c>
      <c r="F1648" s="117">
        <v>1403</v>
      </c>
      <c r="G1648" s="321" t="s">
        <v>305</v>
      </c>
      <c r="H1648" s="144">
        <f>bargiri[[#This Row],[میزان بارگیری شده]]*bargiri[[#This Row],[فی]]</f>
        <v>1698620000</v>
      </c>
      <c r="I1648" s="321">
        <f>IF(year=bargiri[[#This Row],[سال]],1,0)</f>
        <v>0</v>
      </c>
    </row>
    <row r="1649" spans="1:9" ht="18.600000000000001" hidden="1" x14ac:dyDescent="0.25">
      <c r="A1649" s="321" t="s">
        <v>485</v>
      </c>
      <c r="B1649" s="321" t="s">
        <v>103</v>
      </c>
      <c r="C1649" s="318" t="s">
        <v>32</v>
      </c>
      <c r="D1649">
        <v>7900</v>
      </c>
      <c r="E1649" s="143">
        <v>80000</v>
      </c>
      <c r="F1649" s="117">
        <v>1403</v>
      </c>
      <c r="G1649" s="321" t="s">
        <v>295</v>
      </c>
      <c r="H1649" s="144">
        <f>bargiri[[#This Row],[میزان بارگیری شده]]*bargiri[[#This Row],[فی]]</f>
        <v>632000000</v>
      </c>
      <c r="I1649" s="321">
        <f>IF(year=bargiri[[#This Row],[سال]],1,0)</f>
        <v>0</v>
      </c>
    </row>
    <row r="1650" spans="1:9" ht="18.600000000000001" hidden="1" x14ac:dyDescent="0.25">
      <c r="A1650" s="321" t="s">
        <v>485</v>
      </c>
      <c r="B1650" s="321" t="s">
        <v>103</v>
      </c>
      <c r="C1650" s="318" t="s">
        <v>32</v>
      </c>
      <c r="D1650">
        <v>7520</v>
      </c>
      <c r="E1650" s="143">
        <v>80000</v>
      </c>
      <c r="F1650" s="117">
        <v>1403</v>
      </c>
      <c r="G1650" s="321" t="s">
        <v>295</v>
      </c>
      <c r="H1650" s="144">
        <f>bargiri[[#This Row],[میزان بارگیری شده]]*bargiri[[#This Row],[فی]]</f>
        <v>601600000</v>
      </c>
      <c r="I1650" s="321">
        <f>IF(year=bargiri[[#This Row],[سال]],1,0)</f>
        <v>0</v>
      </c>
    </row>
    <row r="1651" spans="1:9" ht="18.600000000000001" hidden="1" x14ac:dyDescent="0.25">
      <c r="A1651" s="321" t="s">
        <v>485</v>
      </c>
      <c r="B1651" s="321" t="s">
        <v>103</v>
      </c>
      <c r="C1651" s="318" t="s">
        <v>32</v>
      </c>
      <c r="D1651">
        <v>7550</v>
      </c>
      <c r="E1651" s="143">
        <v>80000</v>
      </c>
      <c r="F1651" s="117">
        <v>1403</v>
      </c>
      <c r="G1651" s="321" t="s">
        <v>295</v>
      </c>
      <c r="H1651" s="144">
        <f>bargiri[[#This Row],[میزان بارگیری شده]]*bargiri[[#This Row],[فی]]</f>
        <v>604000000</v>
      </c>
      <c r="I1651" s="321">
        <f>IF(year=bargiri[[#This Row],[سال]],1,0)</f>
        <v>0</v>
      </c>
    </row>
    <row r="1652" spans="1:9" ht="18.600000000000001" hidden="1" x14ac:dyDescent="0.25">
      <c r="A1652" s="321" t="s">
        <v>486</v>
      </c>
      <c r="B1652" s="321" t="s">
        <v>117</v>
      </c>
      <c r="C1652" s="318" t="s">
        <v>83</v>
      </c>
      <c r="D1652">
        <v>6310</v>
      </c>
      <c r="E1652" s="143">
        <v>55000</v>
      </c>
      <c r="F1652" s="117">
        <v>1403</v>
      </c>
      <c r="G1652" s="321" t="s">
        <v>295</v>
      </c>
      <c r="H1652" s="144">
        <f>bargiri[[#This Row],[میزان بارگیری شده]]*bargiri[[#This Row],[فی]]</f>
        <v>347050000</v>
      </c>
      <c r="I1652" s="321">
        <f>IF(year=bargiri[[#This Row],[سال]],1,0)</f>
        <v>0</v>
      </c>
    </row>
    <row r="1653" spans="1:9" ht="18.600000000000001" hidden="1" x14ac:dyDescent="0.25">
      <c r="A1653" s="321" t="s">
        <v>486</v>
      </c>
      <c r="B1653" s="321" t="s">
        <v>116</v>
      </c>
      <c r="C1653" s="318" t="s">
        <v>77</v>
      </c>
      <c r="D1653">
        <v>22000</v>
      </c>
      <c r="E1653" s="143">
        <v>68500</v>
      </c>
      <c r="F1653" s="117">
        <v>1403</v>
      </c>
      <c r="G1653" s="321" t="s">
        <v>295</v>
      </c>
      <c r="H1653" s="144">
        <f>bargiri[[#This Row],[میزان بارگیری شده]]*bargiri[[#This Row],[فی]]</f>
        <v>1507000000</v>
      </c>
      <c r="I1653" s="321">
        <f>IF(year=bargiri[[#This Row],[سال]],1,0)</f>
        <v>0</v>
      </c>
    </row>
    <row r="1654" spans="1:9" ht="18.600000000000001" hidden="1" x14ac:dyDescent="0.25">
      <c r="A1654" s="321" t="s">
        <v>486</v>
      </c>
      <c r="B1654" s="321" t="s">
        <v>116</v>
      </c>
      <c r="C1654" s="318" t="s">
        <v>77</v>
      </c>
      <c r="D1654">
        <v>19980</v>
      </c>
      <c r="E1654" s="143">
        <v>68500</v>
      </c>
      <c r="F1654" s="117">
        <v>1403</v>
      </c>
      <c r="G1654" s="321" t="s">
        <v>295</v>
      </c>
      <c r="H1654" s="144">
        <f>bargiri[[#This Row],[میزان بارگیری شده]]*bargiri[[#This Row],[فی]]</f>
        <v>1368630000</v>
      </c>
      <c r="I1654" s="321">
        <f>IF(year=bargiri[[#This Row],[سال]],1,0)</f>
        <v>0</v>
      </c>
    </row>
    <row r="1655" spans="1:9" ht="18.600000000000001" hidden="1" x14ac:dyDescent="0.25">
      <c r="A1655" s="321" t="s">
        <v>147</v>
      </c>
      <c r="B1655" s="321" t="s">
        <v>116</v>
      </c>
      <c r="C1655" s="318" t="s">
        <v>77</v>
      </c>
      <c r="D1655">
        <v>14930</v>
      </c>
      <c r="E1655" s="143">
        <v>68500</v>
      </c>
      <c r="F1655" s="117">
        <v>1403</v>
      </c>
      <c r="G1655" s="321" t="s">
        <v>295</v>
      </c>
      <c r="H1655" s="144">
        <f>bargiri[[#This Row],[میزان بارگیری شده]]*bargiri[[#This Row],[فی]]</f>
        <v>1022705000</v>
      </c>
      <c r="I1655" s="321">
        <f>IF(year=bargiri[[#This Row],[سال]],1,0)</f>
        <v>0</v>
      </c>
    </row>
    <row r="1656" spans="1:9" ht="18.600000000000001" hidden="1" x14ac:dyDescent="0.25">
      <c r="A1656" s="321" t="s">
        <v>147</v>
      </c>
      <c r="B1656" s="321" t="s">
        <v>116</v>
      </c>
      <c r="C1656" s="318" t="s">
        <v>77</v>
      </c>
      <c r="D1656">
        <v>12110</v>
      </c>
      <c r="E1656" s="143">
        <v>68500</v>
      </c>
      <c r="F1656" s="117">
        <v>1403</v>
      </c>
      <c r="G1656" s="321" t="s">
        <v>295</v>
      </c>
      <c r="H1656" s="144">
        <f>bargiri[[#This Row],[میزان بارگیری شده]]*bargiri[[#This Row],[فی]]</f>
        <v>829535000</v>
      </c>
      <c r="I1656" s="321">
        <f>IF(year=bargiri[[#This Row],[سال]],1,0)</f>
        <v>0</v>
      </c>
    </row>
    <row r="1657" spans="1:9" ht="18.600000000000001" hidden="1" x14ac:dyDescent="0.25">
      <c r="A1657" s="321" t="s">
        <v>147</v>
      </c>
      <c r="B1657" s="321" t="s">
        <v>103</v>
      </c>
      <c r="C1657" s="318" t="s">
        <v>32</v>
      </c>
      <c r="D1657">
        <v>7410</v>
      </c>
      <c r="E1657" s="143">
        <v>80000</v>
      </c>
      <c r="F1657" s="117">
        <v>1403</v>
      </c>
      <c r="G1657" s="321" t="s">
        <v>295</v>
      </c>
      <c r="H1657" s="144">
        <f>bargiri[[#This Row],[میزان بارگیری شده]]*bargiri[[#This Row],[فی]]</f>
        <v>592800000</v>
      </c>
      <c r="I1657" s="321">
        <f>IF(year=bargiri[[#This Row],[سال]],1,0)</f>
        <v>0</v>
      </c>
    </row>
    <row r="1658" spans="1:9" ht="18.600000000000001" x14ac:dyDescent="0.25">
      <c r="A1658" s="321" t="s">
        <v>147</v>
      </c>
      <c r="B1658" s="321" t="s">
        <v>118</v>
      </c>
      <c r="C1658" s="318" t="s">
        <v>85</v>
      </c>
      <c r="D1658">
        <v>20980</v>
      </c>
      <c r="E1658" s="143">
        <v>56881</v>
      </c>
      <c r="F1658" s="117">
        <v>1403</v>
      </c>
      <c r="G1658" s="321" t="s">
        <v>295</v>
      </c>
      <c r="H1658" s="144">
        <f>bargiri[[#This Row],[میزان بارگیری شده]]*bargiri[[#This Row],[فی]]</f>
        <v>1193363380</v>
      </c>
      <c r="I1658" s="321">
        <f>IF(year=bargiri[[#This Row],[سال]],1,0)</f>
        <v>0</v>
      </c>
    </row>
    <row r="1659" spans="1:9" ht="18.600000000000001" x14ac:dyDescent="0.25">
      <c r="A1659" s="321" t="s">
        <v>147</v>
      </c>
      <c r="B1659" s="321" t="s">
        <v>118</v>
      </c>
      <c r="C1659" s="318" t="s">
        <v>85</v>
      </c>
      <c r="D1659">
        <v>20910</v>
      </c>
      <c r="E1659" s="143">
        <v>56881</v>
      </c>
      <c r="F1659" s="117">
        <v>1403</v>
      </c>
      <c r="G1659" s="321" t="s">
        <v>295</v>
      </c>
      <c r="H1659" s="144">
        <f>bargiri[[#This Row],[میزان بارگیری شده]]*bargiri[[#This Row],[فی]]</f>
        <v>1189381710</v>
      </c>
      <c r="I1659" s="321">
        <f>IF(year=bargiri[[#This Row],[سال]],1,0)</f>
        <v>0</v>
      </c>
    </row>
    <row r="1660" spans="1:9" ht="18.600000000000001" x14ac:dyDescent="0.25">
      <c r="A1660" s="321" t="s">
        <v>147</v>
      </c>
      <c r="B1660" s="321" t="s">
        <v>118</v>
      </c>
      <c r="C1660" s="318" t="s">
        <v>85</v>
      </c>
      <c r="D1660">
        <v>21310</v>
      </c>
      <c r="E1660" s="143">
        <v>56881</v>
      </c>
      <c r="F1660" s="117">
        <v>1403</v>
      </c>
      <c r="G1660" s="321" t="s">
        <v>295</v>
      </c>
      <c r="H1660" s="144">
        <f>bargiri[[#This Row],[میزان بارگیری شده]]*bargiri[[#This Row],[فی]]</f>
        <v>1212134110</v>
      </c>
      <c r="I1660" s="321">
        <f>IF(year=bargiri[[#This Row],[سال]],1,0)</f>
        <v>0</v>
      </c>
    </row>
    <row r="1661" spans="1:9" ht="18.600000000000001" hidden="1" x14ac:dyDescent="0.25">
      <c r="A1661" s="321" t="s">
        <v>147</v>
      </c>
      <c r="B1661" s="321" t="s">
        <v>103</v>
      </c>
      <c r="C1661" s="318" t="s">
        <v>32</v>
      </c>
      <c r="D1661">
        <v>7420</v>
      </c>
      <c r="E1661" s="143">
        <v>80000</v>
      </c>
      <c r="F1661" s="117">
        <v>1403</v>
      </c>
      <c r="G1661" s="321" t="s">
        <v>295</v>
      </c>
      <c r="H1661" s="144">
        <f>bargiri[[#This Row],[میزان بارگیری شده]]*bargiri[[#This Row],[فی]]</f>
        <v>593600000</v>
      </c>
      <c r="I1661" s="321">
        <f>IF(year=bargiri[[#This Row],[سال]],1,0)</f>
        <v>0</v>
      </c>
    </row>
    <row r="1662" spans="1:9" ht="18.600000000000001" hidden="1" x14ac:dyDescent="0.25">
      <c r="A1662" s="321" t="s">
        <v>147</v>
      </c>
      <c r="B1662" s="321" t="s">
        <v>98</v>
      </c>
      <c r="C1662" s="318" t="s">
        <v>11</v>
      </c>
      <c r="D1662">
        <v>22150</v>
      </c>
      <c r="E1662" s="143">
        <v>77000</v>
      </c>
      <c r="F1662" s="117">
        <v>1403</v>
      </c>
      <c r="G1662" s="321" t="s">
        <v>295</v>
      </c>
      <c r="H1662" s="144">
        <f>bargiri[[#This Row],[میزان بارگیری شده]]*bargiri[[#This Row],[فی]]</f>
        <v>1705550000</v>
      </c>
      <c r="I1662" s="321">
        <f>IF(year=bargiri[[#This Row],[سال]],1,0)</f>
        <v>0</v>
      </c>
    </row>
    <row r="1663" spans="1:9" ht="18.600000000000001" hidden="1" x14ac:dyDescent="0.25">
      <c r="A1663" s="321" t="s">
        <v>487</v>
      </c>
      <c r="B1663" s="321" t="s">
        <v>102</v>
      </c>
      <c r="C1663" s="318" t="s">
        <v>27</v>
      </c>
      <c r="D1663">
        <v>7350</v>
      </c>
      <c r="E1663" s="143">
        <v>56000</v>
      </c>
      <c r="F1663" s="117">
        <v>1403</v>
      </c>
      <c r="G1663" s="321" t="s">
        <v>295</v>
      </c>
      <c r="H1663" s="144">
        <f>bargiri[[#This Row],[میزان بارگیری شده]]*bargiri[[#This Row],[فی]]</f>
        <v>411600000</v>
      </c>
      <c r="I1663" s="321">
        <f>IF(year=bargiri[[#This Row],[سال]],1,0)</f>
        <v>0</v>
      </c>
    </row>
    <row r="1664" spans="1:9" ht="18.600000000000001" hidden="1" x14ac:dyDescent="0.25">
      <c r="A1664" s="321" t="s">
        <v>487</v>
      </c>
      <c r="B1664" s="321" t="s">
        <v>103</v>
      </c>
      <c r="C1664" s="318" t="s">
        <v>32</v>
      </c>
      <c r="D1664">
        <v>7410</v>
      </c>
      <c r="E1664" s="143">
        <v>80000</v>
      </c>
      <c r="F1664" s="117">
        <v>1403</v>
      </c>
      <c r="G1664" s="321" t="s">
        <v>295</v>
      </c>
      <c r="H1664" s="144">
        <f>bargiri[[#This Row],[میزان بارگیری شده]]*bargiri[[#This Row],[فی]]</f>
        <v>592800000</v>
      </c>
      <c r="I1664" s="321">
        <f>IF(year=bargiri[[#This Row],[سال]],1,0)</f>
        <v>0</v>
      </c>
    </row>
    <row r="1665" spans="1:9" ht="18.600000000000001" hidden="1" x14ac:dyDescent="0.25">
      <c r="A1665" s="321" t="s">
        <v>487</v>
      </c>
      <c r="B1665" s="321" t="s">
        <v>102</v>
      </c>
      <c r="C1665" s="318" t="s">
        <v>27</v>
      </c>
      <c r="D1665">
        <v>8080</v>
      </c>
      <c r="E1665" s="143">
        <v>56000</v>
      </c>
      <c r="F1665" s="117">
        <v>1403</v>
      </c>
      <c r="G1665" s="321" t="s">
        <v>295</v>
      </c>
      <c r="H1665" s="144">
        <f>bargiri[[#This Row],[میزان بارگیری شده]]*bargiri[[#This Row],[فی]]</f>
        <v>452480000</v>
      </c>
      <c r="I1665" s="321">
        <f>IF(year=bargiri[[#This Row],[سال]],1,0)</f>
        <v>0</v>
      </c>
    </row>
    <row r="1666" spans="1:9" ht="18.600000000000001" hidden="1" x14ac:dyDescent="0.25">
      <c r="A1666" s="321" t="s">
        <v>487</v>
      </c>
      <c r="B1666" s="321" t="s">
        <v>117</v>
      </c>
      <c r="C1666" s="318" t="s">
        <v>83</v>
      </c>
      <c r="D1666">
        <v>6430</v>
      </c>
      <c r="E1666" s="143">
        <v>55000</v>
      </c>
      <c r="F1666" s="117">
        <v>1403</v>
      </c>
      <c r="G1666" s="321" t="s">
        <v>295</v>
      </c>
      <c r="H1666" s="144">
        <f>bargiri[[#This Row],[میزان بارگیری شده]]*bargiri[[#This Row],[فی]]</f>
        <v>353650000</v>
      </c>
      <c r="I1666" s="321">
        <f>IF(year=bargiri[[#This Row],[سال]],1,0)</f>
        <v>0</v>
      </c>
    </row>
    <row r="1667" spans="1:9" ht="18.600000000000001" hidden="1" x14ac:dyDescent="0.25">
      <c r="A1667" s="321" t="s">
        <v>487</v>
      </c>
      <c r="B1667" s="321" t="s">
        <v>103</v>
      </c>
      <c r="C1667" s="318" t="s">
        <v>32</v>
      </c>
      <c r="D1667">
        <v>4610</v>
      </c>
      <c r="E1667" s="143">
        <v>80000</v>
      </c>
      <c r="F1667" s="117">
        <v>1403</v>
      </c>
      <c r="G1667" s="321" t="s">
        <v>295</v>
      </c>
      <c r="H1667" s="144">
        <f>bargiri[[#This Row],[میزان بارگیری شده]]*bargiri[[#This Row],[فی]]</f>
        <v>368800000</v>
      </c>
      <c r="I1667" s="321">
        <f>IF(year=bargiri[[#This Row],[سال]],1,0)</f>
        <v>0</v>
      </c>
    </row>
    <row r="1668" spans="1:9" ht="18.600000000000001" hidden="1" x14ac:dyDescent="0.25">
      <c r="A1668" s="321" t="s">
        <v>487</v>
      </c>
      <c r="B1668" s="321" t="s">
        <v>103</v>
      </c>
      <c r="C1668" s="318" t="s">
        <v>33</v>
      </c>
      <c r="D1668">
        <v>2100</v>
      </c>
      <c r="E1668" s="143">
        <v>75000</v>
      </c>
      <c r="F1668" s="117">
        <v>1403</v>
      </c>
      <c r="G1668" s="321" t="s">
        <v>295</v>
      </c>
      <c r="H1668" s="144">
        <f>bargiri[[#This Row],[میزان بارگیری شده]]*bargiri[[#This Row],[فی]]</f>
        <v>157500000</v>
      </c>
      <c r="I1668" s="321">
        <f>IF(year=bargiri[[#This Row],[سال]],1,0)</f>
        <v>0</v>
      </c>
    </row>
    <row r="1669" spans="1:9" ht="18.600000000000001" hidden="1" x14ac:dyDescent="0.25">
      <c r="A1669" s="321" t="s">
        <v>151</v>
      </c>
      <c r="B1669" s="321" t="s">
        <v>99</v>
      </c>
      <c r="C1669" s="318" t="s">
        <v>14</v>
      </c>
      <c r="D1669">
        <v>18470</v>
      </c>
      <c r="E1669" s="143">
        <v>50000</v>
      </c>
      <c r="F1669" s="117">
        <v>1403</v>
      </c>
      <c r="G1669" s="321" t="s">
        <v>295</v>
      </c>
      <c r="H1669" s="144">
        <f>bargiri[[#This Row],[میزان بارگیری شده]]*bargiri[[#This Row],[فی]]</f>
        <v>923500000</v>
      </c>
      <c r="I1669" s="321">
        <f>IF(year=bargiri[[#This Row],[سال]],1,0)</f>
        <v>0</v>
      </c>
    </row>
    <row r="1670" spans="1:9" ht="18.600000000000001" hidden="1" x14ac:dyDescent="0.25">
      <c r="A1670" s="321" t="s">
        <v>151</v>
      </c>
      <c r="B1670" s="321" t="s">
        <v>117</v>
      </c>
      <c r="C1670" s="318" t="s">
        <v>83</v>
      </c>
      <c r="D1670">
        <v>6180</v>
      </c>
      <c r="E1670" s="143">
        <v>55000</v>
      </c>
      <c r="F1670" s="117">
        <v>1403</v>
      </c>
      <c r="G1670" s="321" t="s">
        <v>295</v>
      </c>
      <c r="H1670" s="144">
        <f>bargiri[[#This Row],[میزان بارگیری شده]]*bargiri[[#This Row],[فی]]</f>
        <v>339900000</v>
      </c>
      <c r="I1670" s="321">
        <f>IF(year=bargiri[[#This Row],[سال]],1,0)</f>
        <v>0</v>
      </c>
    </row>
    <row r="1671" spans="1:9" ht="18.600000000000001" hidden="1" x14ac:dyDescent="0.25">
      <c r="A1671" s="321" t="s">
        <v>151</v>
      </c>
      <c r="B1671" s="321" t="s">
        <v>117</v>
      </c>
      <c r="C1671" s="318" t="s">
        <v>83</v>
      </c>
      <c r="D1671">
        <v>6530</v>
      </c>
      <c r="E1671" s="143">
        <v>55000</v>
      </c>
      <c r="F1671" s="117">
        <v>1403</v>
      </c>
      <c r="G1671" s="321" t="s">
        <v>295</v>
      </c>
      <c r="H1671" s="144">
        <f>bargiri[[#This Row],[میزان بارگیری شده]]*bargiri[[#This Row],[فی]]</f>
        <v>359150000</v>
      </c>
      <c r="I1671" s="321">
        <f>IF(year=bargiri[[#This Row],[سال]],1,0)</f>
        <v>0</v>
      </c>
    </row>
    <row r="1672" spans="1:9" ht="18.600000000000001" hidden="1" x14ac:dyDescent="0.25">
      <c r="A1672" s="321" t="s">
        <v>158</v>
      </c>
      <c r="B1672" s="321" t="s">
        <v>116</v>
      </c>
      <c r="C1672" s="318" t="s">
        <v>77</v>
      </c>
      <c r="D1672">
        <v>11970</v>
      </c>
      <c r="E1672" s="143">
        <v>68500</v>
      </c>
      <c r="F1672" s="117">
        <v>1403</v>
      </c>
      <c r="G1672" s="321" t="s">
        <v>295</v>
      </c>
      <c r="H1672" s="144">
        <f>bargiri[[#This Row],[میزان بارگیری شده]]*bargiri[[#This Row],[فی]]</f>
        <v>819945000</v>
      </c>
      <c r="I1672" s="321">
        <f>IF(year=bargiri[[#This Row],[سال]],1,0)</f>
        <v>0</v>
      </c>
    </row>
    <row r="1673" spans="1:9" ht="18.600000000000001" hidden="1" x14ac:dyDescent="0.25">
      <c r="A1673" s="321" t="s">
        <v>158</v>
      </c>
      <c r="B1673" s="321" t="s">
        <v>116</v>
      </c>
      <c r="C1673" s="318" t="s">
        <v>77</v>
      </c>
      <c r="D1673">
        <v>19920</v>
      </c>
      <c r="E1673" s="143">
        <v>68500</v>
      </c>
      <c r="F1673" s="117">
        <v>1403</v>
      </c>
      <c r="G1673" s="321" t="s">
        <v>295</v>
      </c>
      <c r="H1673" s="144">
        <f>bargiri[[#This Row],[میزان بارگیری شده]]*bargiri[[#This Row],[فی]]</f>
        <v>1364520000</v>
      </c>
      <c r="I1673" s="321">
        <f>IF(year=bargiri[[#This Row],[سال]],1,0)</f>
        <v>0</v>
      </c>
    </row>
    <row r="1674" spans="1:9" ht="18.600000000000001" hidden="1" x14ac:dyDescent="0.25">
      <c r="A1674" s="321" t="s">
        <v>158</v>
      </c>
      <c r="B1674" s="321" t="s">
        <v>117</v>
      </c>
      <c r="C1674" s="318" t="s">
        <v>83</v>
      </c>
      <c r="D1674">
        <v>6460</v>
      </c>
      <c r="E1674" s="143">
        <v>55000</v>
      </c>
      <c r="F1674" s="117">
        <v>1403</v>
      </c>
      <c r="G1674" s="321" t="s">
        <v>295</v>
      </c>
      <c r="H1674" s="144">
        <f>bargiri[[#This Row],[میزان بارگیری شده]]*bargiri[[#This Row],[فی]]</f>
        <v>355300000</v>
      </c>
      <c r="I1674" s="321">
        <f>IF(year=bargiri[[#This Row],[سال]],1,0)</f>
        <v>0</v>
      </c>
    </row>
    <row r="1675" spans="1:9" ht="18.600000000000001" hidden="1" x14ac:dyDescent="0.25">
      <c r="A1675" s="321" t="s">
        <v>158</v>
      </c>
      <c r="B1675" s="321" t="s">
        <v>106</v>
      </c>
      <c r="C1675" s="318" t="s">
        <v>47</v>
      </c>
      <c r="D1675">
        <v>5240</v>
      </c>
      <c r="E1675" s="143">
        <v>50000</v>
      </c>
      <c r="F1675" s="117">
        <v>1403</v>
      </c>
      <c r="G1675" s="321" t="s">
        <v>295</v>
      </c>
      <c r="H1675" s="144">
        <f>bargiri[[#This Row],[میزان بارگیری شده]]*bargiri[[#This Row],[فی]]</f>
        <v>262000000</v>
      </c>
      <c r="I1675" s="321">
        <f>IF(year=bargiri[[#This Row],[سال]],1,0)</f>
        <v>0</v>
      </c>
    </row>
    <row r="1676" spans="1:9" ht="18.600000000000001" hidden="1" x14ac:dyDescent="0.25">
      <c r="A1676" s="321" t="s">
        <v>158</v>
      </c>
      <c r="B1676" s="321" t="s">
        <v>106</v>
      </c>
      <c r="C1676" s="318" t="s">
        <v>47</v>
      </c>
      <c r="D1676">
        <v>20980</v>
      </c>
      <c r="E1676" s="143">
        <v>50000</v>
      </c>
      <c r="F1676" s="117">
        <v>1403</v>
      </c>
      <c r="G1676" s="321" t="s">
        <v>295</v>
      </c>
      <c r="H1676" s="144">
        <f>bargiri[[#This Row],[میزان بارگیری شده]]*bargiri[[#This Row],[فی]]</f>
        <v>1049000000</v>
      </c>
      <c r="I1676" s="321">
        <f>IF(year=bargiri[[#This Row],[سال]],1,0)</f>
        <v>0</v>
      </c>
    </row>
    <row r="1677" spans="1:9" ht="18.600000000000001" hidden="1" x14ac:dyDescent="0.25">
      <c r="A1677" s="321" t="s">
        <v>488</v>
      </c>
      <c r="B1677" s="321" t="s">
        <v>117</v>
      </c>
      <c r="C1677" s="318" t="s">
        <v>83</v>
      </c>
      <c r="D1677">
        <v>5780</v>
      </c>
      <c r="E1677" s="143">
        <v>55000</v>
      </c>
      <c r="F1677" s="117">
        <v>1403</v>
      </c>
      <c r="G1677" s="321" t="s">
        <v>295</v>
      </c>
      <c r="H1677" s="144">
        <f>bargiri[[#This Row],[میزان بارگیری شده]]*bargiri[[#This Row],[فی]]</f>
        <v>317900000</v>
      </c>
      <c r="I1677" s="321">
        <f>IF(year=bargiri[[#This Row],[سال]],1,0)</f>
        <v>0</v>
      </c>
    </row>
    <row r="1678" spans="1:9" ht="18.600000000000001" hidden="1" x14ac:dyDescent="0.25">
      <c r="A1678" s="321" t="s">
        <v>488</v>
      </c>
      <c r="B1678" s="321" t="s">
        <v>117</v>
      </c>
      <c r="C1678" s="318" t="s">
        <v>83</v>
      </c>
      <c r="D1678">
        <v>5800</v>
      </c>
      <c r="E1678" s="143">
        <v>55000</v>
      </c>
      <c r="F1678" s="117">
        <v>1403</v>
      </c>
      <c r="G1678" s="321" t="s">
        <v>295</v>
      </c>
      <c r="H1678" s="144">
        <f>bargiri[[#This Row],[میزان بارگیری شده]]*bargiri[[#This Row],[فی]]</f>
        <v>319000000</v>
      </c>
      <c r="I1678" s="321">
        <f>IF(year=bargiri[[#This Row],[سال]],1,0)</f>
        <v>0</v>
      </c>
    </row>
    <row r="1679" spans="1:9" ht="18.600000000000001" hidden="1" x14ac:dyDescent="0.25">
      <c r="A1679" s="321" t="s">
        <v>489</v>
      </c>
      <c r="B1679" s="321" t="s">
        <v>116</v>
      </c>
      <c r="C1679" s="318" t="s">
        <v>77</v>
      </c>
      <c r="D1679">
        <v>11940</v>
      </c>
      <c r="E1679" s="143">
        <v>68500</v>
      </c>
      <c r="F1679" s="117">
        <v>1403</v>
      </c>
      <c r="G1679" s="321" t="s">
        <v>295</v>
      </c>
      <c r="H1679" s="144">
        <f>bargiri[[#This Row],[میزان بارگیری شده]]*bargiri[[#This Row],[فی]]</f>
        <v>817890000</v>
      </c>
      <c r="I1679" s="321">
        <f>IF(year=bargiri[[#This Row],[سال]],1,0)</f>
        <v>0</v>
      </c>
    </row>
    <row r="1680" spans="1:9" ht="18.600000000000001" hidden="1" x14ac:dyDescent="0.25">
      <c r="A1680" s="321" t="s">
        <v>489</v>
      </c>
      <c r="B1680" s="321" t="s">
        <v>116</v>
      </c>
      <c r="C1680" s="318" t="s">
        <v>77</v>
      </c>
      <c r="D1680">
        <v>19850</v>
      </c>
      <c r="E1680" s="143">
        <v>68500</v>
      </c>
      <c r="F1680" s="117">
        <v>1403</v>
      </c>
      <c r="G1680" s="321" t="s">
        <v>295</v>
      </c>
      <c r="H1680" s="144">
        <f>bargiri[[#This Row],[میزان بارگیری شده]]*bargiri[[#This Row],[فی]]</f>
        <v>1359725000</v>
      </c>
      <c r="I1680" s="321">
        <f>IF(year=bargiri[[#This Row],[سال]],1,0)</f>
        <v>0</v>
      </c>
    </row>
    <row r="1681" spans="1:9" ht="18.600000000000001" hidden="1" x14ac:dyDescent="0.25">
      <c r="A1681" s="321" t="s">
        <v>490</v>
      </c>
      <c r="B1681" s="321" t="s">
        <v>117</v>
      </c>
      <c r="C1681" s="318" t="s">
        <v>83</v>
      </c>
      <c r="D1681">
        <v>6350</v>
      </c>
      <c r="E1681" s="143">
        <v>55000</v>
      </c>
      <c r="F1681" s="117">
        <v>1403</v>
      </c>
      <c r="G1681" s="321" t="s">
        <v>295</v>
      </c>
      <c r="H1681" s="144">
        <f>bargiri[[#This Row],[میزان بارگیری شده]]*bargiri[[#This Row],[فی]]</f>
        <v>349250000</v>
      </c>
      <c r="I1681" s="321">
        <f>IF(year=bargiri[[#This Row],[سال]],1,0)</f>
        <v>0</v>
      </c>
    </row>
    <row r="1682" spans="1:9" ht="18.600000000000001" hidden="1" x14ac:dyDescent="0.25">
      <c r="A1682" s="321" t="s">
        <v>490</v>
      </c>
      <c r="B1682" s="321" t="s">
        <v>117</v>
      </c>
      <c r="C1682" s="318" t="s">
        <v>83</v>
      </c>
      <c r="D1682">
        <v>6370</v>
      </c>
      <c r="E1682" s="143">
        <v>55000</v>
      </c>
      <c r="F1682" s="117">
        <v>1403</v>
      </c>
      <c r="G1682" s="321" t="s">
        <v>295</v>
      </c>
      <c r="H1682" s="144">
        <f>bargiri[[#This Row],[میزان بارگیری شده]]*bargiri[[#This Row],[فی]]</f>
        <v>350350000</v>
      </c>
      <c r="I1682" s="321">
        <f>IF(year=bargiri[[#This Row],[سال]],1,0)</f>
        <v>0</v>
      </c>
    </row>
    <row r="1683" spans="1:9" ht="18.600000000000001" hidden="1" x14ac:dyDescent="0.25">
      <c r="A1683" s="321" t="s">
        <v>491</v>
      </c>
      <c r="B1683" s="321" t="s">
        <v>117</v>
      </c>
      <c r="C1683" s="318" t="s">
        <v>83</v>
      </c>
      <c r="D1683">
        <v>6380</v>
      </c>
      <c r="E1683" s="143">
        <v>55000</v>
      </c>
      <c r="F1683" s="117">
        <v>1403</v>
      </c>
      <c r="G1683" s="321" t="s">
        <v>295</v>
      </c>
      <c r="H1683" s="144">
        <f>bargiri[[#This Row],[میزان بارگیری شده]]*bargiri[[#This Row],[فی]]</f>
        <v>350900000</v>
      </c>
      <c r="I1683" s="321">
        <f>IF(year=bargiri[[#This Row],[سال]],1,0)</f>
        <v>0</v>
      </c>
    </row>
    <row r="1684" spans="1:9" ht="18.600000000000001" hidden="1" x14ac:dyDescent="0.25">
      <c r="A1684" s="321" t="s">
        <v>478</v>
      </c>
      <c r="B1684" s="321" t="s">
        <v>103</v>
      </c>
      <c r="C1684" s="318" t="s">
        <v>33</v>
      </c>
      <c r="D1684">
        <v>7550</v>
      </c>
      <c r="E1684" s="143">
        <v>75000</v>
      </c>
      <c r="F1684" s="117">
        <v>1403</v>
      </c>
      <c r="G1684" s="321" t="s">
        <v>295</v>
      </c>
      <c r="H1684" s="144">
        <f>bargiri[[#This Row],[میزان بارگیری شده]]*bargiri[[#This Row],[فی]]</f>
        <v>566250000</v>
      </c>
      <c r="I1684" s="321">
        <f>IF(year=bargiri[[#This Row],[سال]],1,0)</f>
        <v>0</v>
      </c>
    </row>
    <row r="1685" spans="1:9" ht="18.600000000000001" hidden="1" x14ac:dyDescent="0.25">
      <c r="A1685" s="321" t="s">
        <v>478</v>
      </c>
      <c r="B1685" s="321" t="s">
        <v>117</v>
      </c>
      <c r="C1685" s="318" t="s">
        <v>83</v>
      </c>
      <c r="D1685">
        <v>6460</v>
      </c>
      <c r="E1685" s="143">
        <v>55000</v>
      </c>
      <c r="F1685" s="117">
        <v>1403</v>
      </c>
      <c r="G1685" s="321" t="s">
        <v>295</v>
      </c>
      <c r="H1685" s="144">
        <f>bargiri[[#This Row],[میزان بارگیری شده]]*bargiri[[#This Row],[فی]]</f>
        <v>355300000</v>
      </c>
      <c r="I1685" s="321">
        <f>IF(year=bargiri[[#This Row],[سال]],1,0)</f>
        <v>0</v>
      </c>
    </row>
    <row r="1686" spans="1:9" ht="18.600000000000001" hidden="1" x14ac:dyDescent="0.25">
      <c r="A1686" s="321" t="s">
        <v>478</v>
      </c>
      <c r="B1686" s="321" t="s">
        <v>103</v>
      </c>
      <c r="C1686" s="318" t="s">
        <v>33</v>
      </c>
      <c r="D1686">
        <v>7520</v>
      </c>
      <c r="E1686" s="143">
        <v>75000</v>
      </c>
      <c r="F1686" s="117">
        <v>1403</v>
      </c>
      <c r="G1686" s="321" t="s">
        <v>295</v>
      </c>
      <c r="H1686" s="144">
        <f>bargiri[[#This Row],[میزان بارگیری شده]]*bargiri[[#This Row],[فی]]</f>
        <v>564000000</v>
      </c>
      <c r="I1686" s="321">
        <f>IF(year=bargiri[[#This Row],[سال]],1,0)</f>
        <v>0</v>
      </c>
    </row>
    <row r="1687" spans="1:9" ht="18.600000000000001" hidden="1" x14ac:dyDescent="0.25">
      <c r="A1687" s="321" t="s">
        <v>479</v>
      </c>
      <c r="B1687" s="321" t="s">
        <v>124</v>
      </c>
      <c r="C1687" s="318" t="s">
        <v>95</v>
      </c>
      <c r="D1687">
        <v>22890</v>
      </c>
      <c r="E1687" s="143">
        <v>75000</v>
      </c>
      <c r="F1687" s="117">
        <v>1403</v>
      </c>
      <c r="G1687" s="321" t="s">
        <v>295</v>
      </c>
      <c r="H1687" s="144">
        <f>bargiri[[#This Row],[میزان بارگیری شده]]*bargiri[[#This Row],[فی]]</f>
        <v>1716750000</v>
      </c>
      <c r="I1687" s="321">
        <f>IF(year=bargiri[[#This Row],[سال]],1,0)</f>
        <v>0</v>
      </c>
    </row>
    <row r="1688" spans="1:9" ht="18.600000000000001" hidden="1" x14ac:dyDescent="0.25">
      <c r="A1688" s="321" t="s">
        <v>479</v>
      </c>
      <c r="B1688" s="321" t="s">
        <v>117</v>
      </c>
      <c r="C1688" s="318" t="s">
        <v>83</v>
      </c>
      <c r="D1688">
        <v>6570</v>
      </c>
      <c r="E1688" s="143">
        <v>55000</v>
      </c>
      <c r="F1688" s="117">
        <v>1403</v>
      </c>
      <c r="G1688" s="321" t="s">
        <v>295</v>
      </c>
      <c r="H1688" s="144">
        <f>bargiri[[#This Row],[میزان بارگیری شده]]*bargiri[[#This Row],[فی]]</f>
        <v>361350000</v>
      </c>
      <c r="I1688" s="321">
        <f>IF(year=bargiri[[#This Row],[سال]],1,0)</f>
        <v>0</v>
      </c>
    </row>
    <row r="1689" spans="1:9" ht="18.600000000000001" x14ac:dyDescent="0.25">
      <c r="A1689" s="321" t="s">
        <v>479</v>
      </c>
      <c r="B1689" s="321" t="s">
        <v>118</v>
      </c>
      <c r="C1689" s="318" t="s">
        <v>85</v>
      </c>
      <c r="D1689">
        <v>20070</v>
      </c>
      <c r="E1689" s="143">
        <v>56881</v>
      </c>
      <c r="F1689" s="117">
        <v>1403</v>
      </c>
      <c r="G1689" s="321" t="s">
        <v>295</v>
      </c>
      <c r="H1689" s="144">
        <f>bargiri[[#This Row],[میزان بارگیری شده]]*bargiri[[#This Row],[فی]]</f>
        <v>1141601670</v>
      </c>
      <c r="I1689" s="321">
        <f>IF(year=bargiri[[#This Row],[سال]],1,0)</f>
        <v>0</v>
      </c>
    </row>
    <row r="1690" spans="1:9" ht="18.600000000000001" x14ac:dyDescent="0.25">
      <c r="A1690" s="321" t="s">
        <v>479</v>
      </c>
      <c r="B1690" s="321" t="s">
        <v>118</v>
      </c>
      <c r="C1690" s="318" t="s">
        <v>85</v>
      </c>
      <c r="D1690">
        <v>21010</v>
      </c>
      <c r="E1690" s="143">
        <v>56881</v>
      </c>
      <c r="F1690" s="117">
        <v>1403</v>
      </c>
      <c r="G1690" s="321" t="s">
        <v>295</v>
      </c>
      <c r="H1690" s="144">
        <f>bargiri[[#This Row],[میزان بارگیری شده]]*bargiri[[#This Row],[فی]]</f>
        <v>1195069810</v>
      </c>
      <c r="I1690" s="321">
        <f>IF(year=bargiri[[#This Row],[سال]],1,0)</f>
        <v>0</v>
      </c>
    </row>
    <row r="1691" spans="1:9" ht="18.600000000000001" x14ac:dyDescent="0.25">
      <c r="A1691" s="321" t="s">
        <v>479</v>
      </c>
      <c r="B1691" s="321" t="s">
        <v>118</v>
      </c>
      <c r="C1691" s="318" t="s">
        <v>85</v>
      </c>
      <c r="D1691">
        <v>20900</v>
      </c>
      <c r="E1691" s="143">
        <v>56881</v>
      </c>
      <c r="F1691" s="117">
        <v>1403</v>
      </c>
      <c r="G1691" s="321" t="s">
        <v>295</v>
      </c>
      <c r="H1691" s="144">
        <f>bargiri[[#This Row],[میزان بارگیری شده]]*bargiri[[#This Row],[فی]]</f>
        <v>1188812900</v>
      </c>
      <c r="I1691" s="321">
        <f>IF(year=bargiri[[#This Row],[سال]],1,0)</f>
        <v>0</v>
      </c>
    </row>
    <row r="1692" spans="1:9" ht="18.600000000000001" hidden="1" x14ac:dyDescent="0.25">
      <c r="A1692" s="321" t="s">
        <v>216</v>
      </c>
      <c r="B1692" s="321" t="s">
        <v>99</v>
      </c>
      <c r="C1692" s="318" t="s">
        <v>14</v>
      </c>
      <c r="D1692">
        <v>18320</v>
      </c>
      <c r="E1692" s="143">
        <v>50000</v>
      </c>
      <c r="F1692" s="117">
        <v>1403</v>
      </c>
      <c r="G1692" s="321" t="s">
        <v>295</v>
      </c>
      <c r="H1692" s="144">
        <f>bargiri[[#This Row],[میزان بارگیری شده]]*bargiri[[#This Row],[فی]]</f>
        <v>916000000</v>
      </c>
      <c r="I1692" s="321">
        <f>IF(year=bargiri[[#This Row],[سال]],1,0)</f>
        <v>0</v>
      </c>
    </row>
    <row r="1693" spans="1:9" ht="18.600000000000001" hidden="1" x14ac:dyDescent="0.25">
      <c r="A1693" s="321" t="s">
        <v>216</v>
      </c>
      <c r="B1693" s="321" t="s">
        <v>106</v>
      </c>
      <c r="C1693" s="318" t="s">
        <v>47</v>
      </c>
      <c r="D1693">
        <v>17120</v>
      </c>
      <c r="E1693" s="143">
        <v>50000</v>
      </c>
      <c r="F1693" s="117">
        <v>1403</v>
      </c>
      <c r="G1693" s="321" t="s">
        <v>295</v>
      </c>
      <c r="H1693" s="144">
        <f>bargiri[[#This Row],[میزان بارگیری شده]]*bargiri[[#This Row],[فی]]</f>
        <v>856000000</v>
      </c>
      <c r="I1693" s="321">
        <f>IF(year=bargiri[[#This Row],[سال]],1,0)</f>
        <v>0</v>
      </c>
    </row>
    <row r="1694" spans="1:9" ht="18.600000000000001" hidden="1" x14ac:dyDescent="0.25">
      <c r="A1694" s="321" t="s">
        <v>216</v>
      </c>
      <c r="B1694" s="321" t="s">
        <v>117</v>
      </c>
      <c r="C1694" s="318" t="s">
        <v>83</v>
      </c>
      <c r="D1694">
        <v>6510</v>
      </c>
      <c r="E1694" s="143">
        <v>55000</v>
      </c>
      <c r="F1694" s="117">
        <v>1403</v>
      </c>
      <c r="G1694" s="321" t="s">
        <v>295</v>
      </c>
      <c r="H1694" s="144">
        <f>bargiri[[#This Row],[میزان بارگیری شده]]*bargiri[[#This Row],[فی]]</f>
        <v>358050000</v>
      </c>
      <c r="I1694" s="321">
        <f>IF(year=bargiri[[#This Row],[سال]],1,0)</f>
        <v>0</v>
      </c>
    </row>
    <row r="1695" spans="1:9" ht="18.600000000000001" hidden="1" x14ac:dyDescent="0.25">
      <c r="A1695" s="321" t="s">
        <v>216</v>
      </c>
      <c r="B1695" s="321" t="s">
        <v>124</v>
      </c>
      <c r="C1695" s="318" t="s">
        <v>95</v>
      </c>
      <c r="D1695">
        <v>22020</v>
      </c>
      <c r="E1695" s="143">
        <v>75000</v>
      </c>
      <c r="F1695" s="117">
        <v>1403</v>
      </c>
      <c r="G1695" s="321" t="s">
        <v>295</v>
      </c>
      <c r="H1695" s="144">
        <f>bargiri[[#This Row],[میزان بارگیری شده]]*bargiri[[#This Row],[فی]]</f>
        <v>1651500000</v>
      </c>
      <c r="I1695" s="321">
        <f>IF(year=bargiri[[#This Row],[سال]],1,0)</f>
        <v>0</v>
      </c>
    </row>
    <row r="1696" spans="1:9" ht="18.600000000000001" hidden="1" x14ac:dyDescent="0.25">
      <c r="A1696" s="321" t="s">
        <v>216</v>
      </c>
      <c r="B1696" s="321" t="s">
        <v>106</v>
      </c>
      <c r="C1696" s="318" t="s">
        <v>47</v>
      </c>
      <c r="D1696">
        <v>21000</v>
      </c>
      <c r="E1696" s="143">
        <v>50000</v>
      </c>
      <c r="F1696" s="117">
        <v>1403</v>
      </c>
      <c r="G1696" s="321" t="s">
        <v>295</v>
      </c>
      <c r="H1696" s="144">
        <f>bargiri[[#This Row],[میزان بارگیری شده]]*bargiri[[#This Row],[فی]]</f>
        <v>1050000000</v>
      </c>
      <c r="I1696" s="321">
        <f>IF(year=bargiri[[#This Row],[سال]],1,0)</f>
        <v>0</v>
      </c>
    </row>
    <row r="1697" spans="1:9" ht="18.600000000000001" hidden="1" x14ac:dyDescent="0.25">
      <c r="A1697" s="321" t="s">
        <v>216</v>
      </c>
      <c r="B1697" s="321" t="s">
        <v>103</v>
      </c>
      <c r="C1697" s="318" t="s">
        <v>33</v>
      </c>
      <c r="D1697">
        <v>7460</v>
      </c>
      <c r="E1697" s="143">
        <v>75000</v>
      </c>
      <c r="F1697" s="117">
        <v>1403</v>
      </c>
      <c r="G1697" s="321" t="s">
        <v>295</v>
      </c>
      <c r="H1697" s="144">
        <f>bargiri[[#This Row],[میزان بارگیری شده]]*bargiri[[#This Row],[فی]]</f>
        <v>559500000</v>
      </c>
      <c r="I1697" s="321">
        <f>IF(year=bargiri[[#This Row],[سال]],1,0)</f>
        <v>0</v>
      </c>
    </row>
    <row r="1698" spans="1:9" ht="18.600000000000001" hidden="1" x14ac:dyDescent="0.25">
      <c r="A1698" s="321" t="s">
        <v>492</v>
      </c>
      <c r="B1698" s="321" t="s">
        <v>101</v>
      </c>
      <c r="C1698" s="318" t="s">
        <v>21</v>
      </c>
      <c r="D1698">
        <v>22980</v>
      </c>
      <c r="E1698" s="143">
        <v>68000</v>
      </c>
      <c r="F1698" s="117">
        <v>1403</v>
      </c>
      <c r="G1698" s="321" t="s">
        <v>295</v>
      </c>
      <c r="H1698" s="144">
        <f>bargiri[[#This Row],[میزان بارگیری شده]]*bargiri[[#This Row],[فی]]</f>
        <v>1562640000</v>
      </c>
      <c r="I1698" s="321">
        <f>IF(year=bargiri[[#This Row],[سال]],1,0)</f>
        <v>0</v>
      </c>
    </row>
    <row r="1699" spans="1:9" ht="18.600000000000001" hidden="1" x14ac:dyDescent="0.25">
      <c r="A1699" s="321" t="s">
        <v>492</v>
      </c>
      <c r="B1699" s="321" t="s">
        <v>117</v>
      </c>
      <c r="C1699" s="318" t="s">
        <v>83</v>
      </c>
      <c r="D1699">
        <v>6190</v>
      </c>
      <c r="E1699" s="143">
        <v>55000</v>
      </c>
      <c r="F1699" s="117">
        <v>1403</v>
      </c>
      <c r="G1699" s="321" t="s">
        <v>295</v>
      </c>
      <c r="H1699" s="144">
        <f>bargiri[[#This Row],[میزان بارگیری شده]]*bargiri[[#This Row],[فی]]</f>
        <v>340450000</v>
      </c>
      <c r="I1699" s="321">
        <f>IF(year=bargiri[[#This Row],[سال]],1,0)</f>
        <v>0</v>
      </c>
    </row>
    <row r="1700" spans="1:9" ht="18.600000000000001" hidden="1" x14ac:dyDescent="0.25">
      <c r="A1700" s="321" t="s">
        <v>492</v>
      </c>
      <c r="B1700" s="321" t="s">
        <v>103</v>
      </c>
      <c r="C1700" s="318" t="s">
        <v>33</v>
      </c>
      <c r="D1700">
        <v>6640</v>
      </c>
      <c r="E1700" s="143">
        <v>75000</v>
      </c>
      <c r="F1700" s="117">
        <v>1403</v>
      </c>
      <c r="G1700" s="321" t="s">
        <v>295</v>
      </c>
      <c r="H1700" s="144">
        <f>bargiri[[#This Row],[میزان بارگیری شده]]*bargiri[[#This Row],[فی]]</f>
        <v>498000000</v>
      </c>
      <c r="I1700" s="321">
        <f>IF(year=bargiri[[#This Row],[سال]],1,0)</f>
        <v>0</v>
      </c>
    </row>
    <row r="1701" spans="1:9" ht="18.600000000000001" hidden="1" x14ac:dyDescent="0.25">
      <c r="A1701" s="321" t="s">
        <v>492</v>
      </c>
      <c r="B1701" s="321" t="s">
        <v>102</v>
      </c>
      <c r="C1701" s="318" t="s">
        <v>27</v>
      </c>
      <c r="D1701">
        <v>8310</v>
      </c>
      <c r="E1701" s="143">
        <v>56000</v>
      </c>
      <c r="F1701" s="117">
        <v>1403</v>
      </c>
      <c r="G1701" s="321" t="s">
        <v>295</v>
      </c>
      <c r="H1701" s="144">
        <f>bargiri[[#This Row],[میزان بارگیری شده]]*bargiri[[#This Row],[فی]]</f>
        <v>465360000</v>
      </c>
      <c r="I1701" s="321">
        <f>IF(year=bargiri[[#This Row],[سال]],1,0)</f>
        <v>0</v>
      </c>
    </row>
    <row r="1702" spans="1:9" ht="18.600000000000001" hidden="1" x14ac:dyDescent="0.25">
      <c r="A1702" s="321" t="s">
        <v>493</v>
      </c>
      <c r="B1702" s="321" t="s">
        <v>103</v>
      </c>
      <c r="C1702" s="318" t="s">
        <v>33</v>
      </c>
      <c r="D1702">
        <v>7420</v>
      </c>
      <c r="E1702" s="143">
        <v>75000</v>
      </c>
      <c r="F1702" s="117">
        <v>1403</v>
      </c>
      <c r="G1702" s="321" t="s">
        <v>295</v>
      </c>
      <c r="H1702" s="144">
        <f>bargiri[[#This Row],[میزان بارگیری شده]]*bargiri[[#This Row],[فی]]</f>
        <v>556500000</v>
      </c>
      <c r="I1702" s="321">
        <f>IF(year=bargiri[[#This Row],[سال]],1,0)</f>
        <v>0</v>
      </c>
    </row>
    <row r="1703" spans="1:9" ht="18.600000000000001" hidden="1" x14ac:dyDescent="0.25">
      <c r="A1703" s="321" t="s">
        <v>493</v>
      </c>
      <c r="B1703" s="321" t="s">
        <v>103</v>
      </c>
      <c r="C1703" s="318" t="s">
        <v>33</v>
      </c>
      <c r="D1703">
        <v>7810</v>
      </c>
      <c r="E1703" s="143">
        <v>75000</v>
      </c>
      <c r="F1703" s="117">
        <v>1403</v>
      </c>
      <c r="G1703" s="321" t="s">
        <v>295</v>
      </c>
      <c r="H1703" s="144">
        <f>bargiri[[#This Row],[میزان بارگیری شده]]*bargiri[[#This Row],[فی]]</f>
        <v>585750000</v>
      </c>
      <c r="I1703" s="321">
        <f>IF(year=bargiri[[#This Row],[سال]],1,0)</f>
        <v>0</v>
      </c>
    </row>
    <row r="1704" spans="1:9" ht="18.600000000000001" hidden="1" x14ac:dyDescent="0.25">
      <c r="A1704" s="321" t="s">
        <v>494</v>
      </c>
      <c r="B1704" s="321" t="s">
        <v>103</v>
      </c>
      <c r="C1704" s="318" t="s">
        <v>33</v>
      </c>
      <c r="D1704">
        <v>7510</v>
      </c>
      <c r="E1704" s="143">
        <v>75000</v>
      </c>
      <c r="F1704" s="117">
        <v>1403</v>
      </c>
      <c r="G1704" s="321" t="s">
        <v>295</v>
      </c>
      <c r="H1704" s="144">
        <f>bargiri[[#This Row],[میزان بارگیری شده]]*bargiri[[#This Row],[فی]]</f>
        <v>563250000</v>
      </c>
      <c r="I1704" s="321">
        <f>IF(year=bargiri[[#This Row],[سال]],1,0)</f>
        <v>0</v>
      </c>
    </row>
    <row r="1705" spans="1:9" ht="18.600000000000001" hidden="1" x14ac:dyDescent="0.25">
      <c r="A1705" s="321" t="s">
        <v>495</v>
      </c>
      <c r="B1705" s="321" t="s">
        <v>103</v>
      </c>
      <c r="C1705" s="318" t="s">
        <v>33</v>
      </c>
      <c r="D1705">
        <v>7620</v>
      </c>
      <c r="E1705" s="143">
        <v>75000</v>
      </c>
      <c r="F1705" s="117">
        <v>1403</v>
      </c>
      <c r="G1705" s="321" t="s">
        <v>295</v>
      </c>
      <c r="H1705" s="144">
        <f>bargiri[[#This Row],[میزان بارگیری شده]]*bargiri[[#This Row],[فی]]</f>
        <v>571500000</v>
      </c>
      <c r="I1705" s="321">
        <f>IF(year=bargiri[[#This Row],[سال]],1,0)</f>
        <v>0</v>
      </c>
    </row>
    <row r="1706" spans="1:9" ht="18.600000000000001" hidden="1" x14ac:dyDescent="0.25">
      <c r="A1706" s="321" t="s">
        <v>496</v>
      </c>
      <c r="B1706" s="321" t="s">
        <v>106</v>
      </c>
      <c r="C1706" s="318" t="s">
        <v>48</v>
      </c>
      <c r="D1706">
        <v>14950</v>
      </c>
      <c r="E1706" s="143">
        <v>65000</v>
      </c>
      <c r="F1706" s="117">
        <v>1403</v>
      </c>
      <c r="G1706" s="321" t="s">
        <v>295</v>
      </c>
      <c r="H1706" s="144">
        <f>bargiri[[#This Row],[میزان بارگیری شده]]*bargiri[[#This Row],[فی]]</f>
        <v>971750000</v>
      </c>
      <c r="I1706" s="321">
        <f>IF(year=bargiri[[#This Row],[سال]],1,0)</f>
        <v>0</v>
      </c>
    </row>
    <row r="1707" spans="1:9" ht="18.600000000000001" hidden="1" x14ac:dyDescent="0.25">
      <c r="A1707" s="321" t="s">
        <v>496</v>
      </c>
      <c r="B1707" s="321" t="s">
        <v>106</v>
      </c>
      <c r="C1707" s="318" t="s">
        <v>48</v>
      </c>
      <c r="D1707">
        <v>21070</v>
      </c>
      <c r="E1707" s="143">
        <v>65000</v>
      </c>
      <c r="F1707" s="117">
        <v>1403</v>
      </c>
      <c r="G1707" s="321" t="s">
        <v>295</v>
      </c>
      <c r="H1707" s="144">
        <f>bargiri[[#This Row],[میزان بارگیری شده]]*bargiri[[#This Row],[فی]]</f>
        <v>1369550000</v>
      </c>
      <c r="I1707" s="321">
        <f>IF(year=bargiri[[#This Row],[سال]],1,0)</f>
        <v>0</v>
      </c>
    </row>
    <row r="1708" spans="1:9" ht="18.600000000000001" hidden="1" x14ac:dyDescent="0.25">
      <c r="A1708" s="321" t="s">
        <v>496</v>
      </c>
      <c r="B1708" s="321" t="s">
        <v>117</v>
      </c>
      <c r="C1708" s="318" t="s">
        <v>83</v>
      </c>
      <c r="D1708">
        <v>6410</v>
      </c>
      <c r="E1708" s="143">
        <v>55000</v>
      </c>
      <c r="F1708" s="117">
        <v>1403</v>
      </c>
      <c r="G1708" s="321" t="s">
        <v>295</v>
      </c>
      <c r="H1708" s="144">
        <f>bargiri[[#This Row],[میزان بارگیری شده]]*bargiri[[#This Row],[فی]]</f>
        <v>352550000</v>
      </c>
      <c r="I1708" s="321">
        <f>IF(year=bargiri[[#This Row],[سال]],1,0)</f>
        <v>0</v>
      </c>
    </row>
    <row r="1709" spans="1:9" ht="18.600000000000001" hidden="1" x14ac:dyDescent="0.25">
      <c r="A1709" s="321" t="s">
        <v>197</v>
      </c>
      <c r="B1709" s="321" t="s">
        <v>102</v>
      </c>
      <c r="C1709" s="318" t="s">
        <v>27</v>
      </c>
      <c r="D1709">
        <v>10530</v>
      </c>
      <c r="E1709" s="143">
        <v>56000</v>
      </c>
      <c r="F1709" s="117">
        <v>1403</v>
      </c>
      <c r="G1709" s="321" t="s">
        <v>295</v>
      </c>
      <c r="H1709" s="144">
        <f>bargiri[[#This Row],[میزان بارگیری شده]]*bargiri[[#This Row],[فی]]</f>
        <v>589680000</v>
      </c>
      <c r="I1709" s="321">
        <f>IF(year=bargiri[[#This Row],[سال]],1,0)</f>
        <v>0</v>
      </c>
    </row>
    <row r="1710" spans="1:9" ht="18.600000000000001" hidden="1" x14ac:dyDescent="0.25">
      <c r="A1710" s="321" t="s">
        <v>197</v>
      </c>
      <c r="B1710" s="321" t="s">
        <v>117</v>
      </c>
      <c r="C1710" s="318" t="s">
        <v>83</v>
      </c>
      <c r="D1710">
        <v>6440</v>
      </c>
      <c r="E1710" s="143">
        <v>55000</v>
      </c>
      <c r="F1710" s="117">
        <v>1403</v>
      </c>
      <c r="G1710" s="321" t="s">
        <v>295</v>
      </c>
      <c r="H1710" s="144">
        <f>bargiri[[#This Row],[میزان بارگیری شده]]*bargiri[[#This Row],[فی]]</f>
        <v>354200000</v>
      </c>
      <c r="I1710" s="321">
        <f>IF(year=bargiri[[#This Row],[سال]],1,0)</f>
        <v>0</v>
      </c>
    </row>
    <row r="1711" spans="1:9" ht="18.600000000000001" hidden="1" x14ac:dyDescent="0.25">
      <c r="A1711" s="321" t="s">
        <v>197</v>
      </c>
      <c r="B1711" s="321" t="s">
        <v>101</v>
      </c>
      <c r="C1711" s="318" t="s">
        <v>21</v>
      </c>
      <c r="D1711">
        <v>6000</v>
      </c>
      <c r="E1711" s="143">
        <v>68000</v>
      </c>
      <c r="F1711" s="117">
        <v>1403</v>
      </c>
      <c r="G1711" s="321" t="s">
        <v>295</v>
      </c>
      <c r="H1711" s="144">
        <f>bargiri[[#This Row],[میزان بارگیری شده]]*bargiri[[#This Row],[فی]]</f>
        <v>408000000</v>
      </c>
      <c r="I1711" s="321">
        <f>IF(year=bargiri[[#This Row],[سال]],1,0)</f>
        <v>0</v>
      </c>
    </row>
    <row r="1712" spans="1:9" ht="18.600000000000001" hidden="1" x14ac:dyDescent="0.25">
      <c r="A1712" s="321" t="s">
        <v>209</v>
      </c>
      <c r="B1712" s="321" t="s">
        <v>117</v>
      </c>
      <c r="C1712" s="318" t="s">
        <v>83</v>
      </c>
      <c r="D1712">
        <v>6390</v>
      </c>
      <c r="E1712" s="143">
        <v>55000</v>
      </c>
      <c r="F1712" s="117">
        <v>1403</v>
      </c>
      <c r="G1712" s="321" t="s">
        <v>295</v>
      </c>
      <c r="H1712" s="144">
        <f>bargiri[[#This Row],[میزان بارگیری شده]]*bargiri[[#This Row],[فی]]</f>
        <v>351450000</v>
      </c>
      <c r="I1712" s="321">
        <f>IF(year=bargiri[[#This Row],[سال]],1,0)</f>
        <v>0</v>
      </c>
    </row>
    <row r="1713" spans="1:9" ht="18.600000000000001" x14ac:dyDescent="0.25">
      <c r="A1713" s="321" t="s">
        <v>209</v>
      </c>
      <c r="B1713" s="321" t="s">
        <v>118</v>
      </c>
      <c r="C1713" s="318" t="s">
        <v>85</v>
      </c>
      <c r="D1713">
        <v>20880</v>
      </c>
      <c r="E1713" s="143">
        <v>56881</v>
      </c>
      <c r="F1713" s="117">
        <v>1403</v>
      </c>
      <c r="G1713" s="321" t="s">
        <v>295</v>
      </c>
      <c r="H1713" s="144">
        <f>bargiri[[#This Row],[میزان بارگیری شده]]*bargiri[[#This Row],[فی]]</f>
        <v>1187675280</v>
      </c>
      <c r="I1713" s="321">
        <f>IF(year=bargiri[[#This Row],[سال]],1,0)</f>
        <v>0</v>
      </c>
    </row>
    <row r="1714" spans="1:9" ht="18.600000000000001" x14ac:dyDescent="0.25">
      <c r="A1714" s="321" t="s">
        <v>209</v>
      </c>
      <c r="B1714" s="321" t="s">
        <v>118</v>
      </c>
      <c r="C1714" s="318" t="s">
        <v>85</v>
      </c>
      <c r="D1714">
        <v>20650</v>
      </c>
      <c r="E1714" s="143">
        <v>56881</v>
      </c>
      <c r="F1714" s="117">
        <v>1403</v>
      </c>
      <c r="G1714" s="321" t="s">
        <v>295</v>
      </c>
      <c r="H1714" s="144">
        <f>bargiri[[#This Row],[میزان بارگیری شده]]*bargiri[[#This Row],[فی]]</f>
        <v>1174592650</v>
      </c>
      <c r="I1714" s="321">
        <f>IF(year=bargiri[[#This Row],[سال]],1,0)</f>
        <v>0</v>
      </c>
    </row>
    <row r="1715" spans="1:9" ht="18.600000000000001" x14ac:dyDescent="0.25">
      <c r="A1715" s="321" t="s">
        <v>209</v>
      </c>
      <c r="B1715" s="321" t="s">
        <v>118</v>
      </c>
      <c r="C1715" s="318" t="s">
        <v>85</v>
      </c>
      <c r="D1715">
        <v>20420</v>
      </c>
      <c r="E1715" s="143">
        <v>56881</v>
      </c>
      <c r="F1715" s="117">
        <v>1403</v>
      </c>
      <c r="G1715" s="321" t="s">
        <v>295</v>
      </c>
      <c r="H1715" s="144">
        <f>bargiri[[#This Row],[میزان بارگیری شده]]*bargiri[[#This Row],[فی]]</f>
        <v>1161510020</v>
      </c>
      <c r="I1715" s="321">
        <f>IF(year=bargiri[[#This Row],[سال]],1,0)</f>
        <v>0</v>
      </c>
    </row>
    <row r="1716" spans="1:9" ht="18.600000000000001" hidden="1" x14ac:dyDescent="0.25">
      <c r="A1716" s="321" t="s">
        <v>209</v>
      </c>
      <c r="B1716" s="321" t="s">
        <v>117</v>
      </c>
      <c r="C1716" s="318" t="s">
        <v>83</v>
      </c>
      <c r="D1716">
        <v>6380</v>
      </c>
      <c r="E1716" s="143">
        <v>55000</v>
      </c>
      <c r="F1716" s="117">
        <v>1403</v>
      </c>
      <c r="G1716" s="321" t="s">
        <v>295</v>
      </c>
      <c r="H1716" s="144">
        <f>bargiri[[#This Row],[میزان بارگیری شده]]*bargiri[[#This Row],[فی]]</f>
        <v>350900000</v>
      </c>
      <c r="I1716" s="321">
        <f>IF(year=bargiri[[#This Row],[سال]],1,0)</f>
        <v>0</v>
      </c>
    </row>
    <row r="1717" spans="1:9" ht="18.600000000000001" hidden="1" x14ac:dyDescent="0.25">
      <c r="A1717" s="321" t="s">
        <v>209</v>
      </c>
      <c r="B1717" s="321" t="s">
        <v>99</v>
      </c>
      <c r="C1717" s="318" t="s">
        <v>14</v>
      </c>
      <c r="D1717">
        <v>18460</v>
      </c>
      <c r="E1717" s="143">
        <v>50000</v>
      </c>
      <c r="F1717" s="117">
        <v>1403</v>
      </c>
      <c r="G1717" s="321" t="s">
        <v>295</v>
      </c>
      <c r="H1717" s="144">
        <f>bargiri[[#This Row],[میزان بارگیری شده]]*bargiri[[#This Row],[فی]]</f>
        <v>923000000</v>
      </c>
      <c r="I1717" s="321">
        <f>IF(year=bargiri[[#This Row],[سال]],1,0)</f>
        <v>0</v>
      </c>
    </row>
    <row r="1718" spans="1:9" ht="18.600000000000001" hidden="1" x14ac:dyDescent="0.25">
      <c r="A1718" s="321" t="s">
        <v>204</v>
      </c>
      <c r="B1718" s="321" t="s">
        <v>106</v>
      </c>
      <c r="C1718" s="318" t="s">
        <v>48</v>
      </c>
      <c r="D1718">
        <v>10340</v>
      </c>
      <c r="E1718" s="143">
        <v>65000</v>
      </c>
      <c r="F1718" s="117">
        <v>1403</v>
      </c>
      <c r="G1718" s="321" t="s">
        <v>295</v>
      </c>
      <c r="H1718" s="144">
        <f>bargiri[[#This Row],[میزان بارگیری شده]]*bargiri[[#This Row],[فی]]</f>
        <v>672100000</v>
      </c>
      <c r="I1718" s="321">
        <f>IF(year=bargiri[[#This Row],[سال]],1,0)</f>
        <v>0</v>
      </c>
    </row>
    <row r="1719" spans="1:9" ht="18.600000000000001" hidden="1" x14ac:dyDescent="0.25">
      <c r="A1719" s="321" t="s">
        <v>204</v>
      </c>
      <c r="B1719" s="321" t="s">
        <v>102</v>
      </c>
      <c r="C1719" s="318" t="s">
        <v>27</v>
      </c>
      <c r="D1719">
        <v>9690</v>
      </c>
      <c r="E1719" s="143">
        <v>56000</v>
      </c>
      <c r="F1719" s="117">
        <v>1403</v>
      </c>
      <c r="G1719" s="321" t="s">
        <v>295</v>
      </c>
      <c r="H1719" s="144">
        <f>bargiri[[#This Row],[میزان بارگیری شده]]*bargiri[[#This Row],[فی]]</f>
        <v>542640000</v>
      </c>
      <c r="I1719" s="321">
        <f>IF(year=bargiri[[#This Row],[سال]],1,0)</f>
        <v>0</v>
      </c>
    </row>
    <row r="1720" spans="1:9" ht="18.600000000000001" hidden="1" x14ac:dyDescent="0.25">
      <c r="A1720" s="321" t="s">
        <v>204</v>
      </c>
      <c r="B1720" s="321" t="s">
        <v>117</v>
      </c>
      <c r="C1720" s="318" t="s">
        <v>83</v>
      </c>
      <c r="D1720">
        <v>6390</v>
      </c>
      <c r="E1720" s="143">
        <v>55000</v>
      </c>
      <c r="F1720" s="117">
        <v>1403</v>
      </c>
      <c r="G1720" s="321" t="s">
        <v>295</v>
      </c>
      <c r="H1720" s="144">
        <f>bargiri[[#This Row],[میزان بارگیری شده]]*bargiri[[#This Row],[فی]]</f>
        <v>351450000</v>
      </c>
      <c r="I1720" s="321">
        <f>IF(year=bargiri[[#This Row],[سال]],1,0)</f>
        <v>0</v>
      </c>
    </row>
    <row r="1721" spans="1:9" ht="18.600000000000001" hidden="1" x14ac:dyDescent="0.25">
      <c r="A1721" s="321" t="s">
        <v>204</v>
      </c>
      <c r="B1721" s="321" t="s">
        <v>103</v>
      </c>
      <c r="C1721" s="318" t="s">
        <v>33</v>
      </c>
      <c r="D1721">
        <v>7610</v>
      </c>
      <c r="E1721" s="143">
        <v>75000</v>
      </c>
      <c r="F1721" s="117">
        <v>1403</v>
      </c>
      <c r="G1721" s="321" t="s">
        <v>295</v>
      </c>
      <c r="H1721" s="144">
        <f>bargiri[[#This Row],[میزان بارگیری شده]]*bargiri[[#This Row],[فی]]</f>
        <v>570750000</v>
      </c>
      <c r="I1721" s="321">
        <f>IF(year=bargiri[[#This Row],[سال]],1,0)</f>
        <v>0</v>
      </c>
    </row>
    <row r="1722" spans="1:9" ht="18.600000000000001" hidden="1" x14ac:dyDescent="0.25">
      <c r="A1722" s="321" t="s">
        <v>204</v>
      </c>
      <c r="B1722" s="321" t="s">
        <v>103</v>
      </c>
      <c r="C1722" s="318" t="s">
        <v>33</v>
      </c>
      <c r="D1722">
        <v>7490</v>
      </c>
      <c r="E1722" s="143">
        <v>75000</v>
      </c>
      <c r="F1722" s="117">
        <v>1403</v>
      </c>
      <c r="G1722" s="321" t="s">
        <v>295</v>
      </c>
      <c r="H1722" s="144">
        <f>bargiri[[#This Row],[میزان بارگیری شده]]*bargiri[[#This Row],[فی]]</f>
        <v>561750000</v>
      </c>
      <c r="I1722" s="321">
        <f>IF(year=bargiri[[#This Row],[سال]],1,0)</f>
        <v>0</v>
      </c>
    </row>
    <row r="1723" spans="1:9" ht="18.600000000000001" hidden="1" x14ac:dyDescent="0.25">
      <c r="A1723" s="321" t="s">
        <v>162</v>
      </c>
      <c r="B1723" s="321" t="s">
        <v>106</v>
      </c>
      <c r="C1723" s="318" t="s">
        <v>48</v>
      </c>
      <c r="D1723">
        <v>21180</v>
      </c>
      <c r="E1723" s="143">
        <v>65000</v>
      </c>
      <c r="F1723" s="117">
        <v>1403</v>
      </c>
      <c r="G1723" s="321" t="s">
        <v>295</v>
      </c>
      <c r="H1723" s="144">
        <f>bargiri[[#This Row],[میزان بارگیری شده]]*bargiri[[#This Row],[فی]]</f>
        <v>1376700000</v>
      </c>
      <c r="I1723" s="321">
        <f>IF(year=bargiri[[#This Row],[سال]],1,0)</f>
        <v>0</v>
      </c>
    </row>
  </sheetData>
  <dataConsolidate link="1"/>
  <phoneticPr fontId="3" type="noConversion"/>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7C6F-7D4D-4E81-B70A-0E0EBB2027D6}">
  <sheetPr codeName="Sheet4">
    <pageSetUpPr fitToPage="1"/>
  </sheetPr>
  <dimension ref="A1:N45"/>
  <sheetViews>
    <sheetView showGridLines="0" rightToLeft="1" zoomScaleNormal="100" workbookViewId="0">
      <selection activeCell="I3" sqref="I3"/>
    </sheetView>
  </sheetViews>
  <sheetFormatPr defaultColWidth="10.69921875" defaultRowHeight="21.75" customHeight="1" x14ac:dyDescent="0.25"/>
  <cols>
    <col min="1" max="1" width="12.59765625" style="1" customWidth="1"/>
    <col min="2" max="2" width="17.59765625" style="3" bestFit="1" customWidth="1"/>
    <col min="3" max="3" width="13.3984375" style="3" customWidth="1"/>
    <col min="4" max="4" width="21.796875" style="1" bestFit="1" customWidth="1"/>
    <col min="5" max="5" width="16" style="1" customWidth="1"/>
    <col min="6" max="6" width="7.8984375" style="1" bestFit="1" customWidth="1"/>
    <col min="7" max="7" width="9.296875" style="1" customWidth="1"/>
    <col min="8" max="8" width="9.8984375" style="1" bestFit="1" customWidth="1"/>
    <col min="9" max="9" width="8.19921875" style="1" bestFit="1" customWidth="1"/>
    <col min="10" max="10" width="10.19921875" style="1" customWidth="1"/>
    <col min="11" max="12" width="12.09765625" style="1" customWidth="1"/>
    <col min="13" max="13" width="11.59765625" style="1" customWidth="1"/>
    <col min="14" max="14" width="22.69921875" style="1" customWidth="1"/>
    <col min="15" max="16384" width="10.69921875" style="1"/>
  </cols>
  <sheetData>
    <row r="1" spans="1:14" ht="21.75" customHeight="1" x14ac:dyDescent="0.25">
      <c r="A1" s="1" t="s">
        <v>127</v>
      </c>
      <c r="B1" s="1" t="s">
        <v>0</v>
      </c>
      <c r="C1" s="1" t="s">
        <v>128</v>
      </c>
      <c r="D1" s="1" t="s">
        <v>130</v>
      </c>
      <c r="E1" s="1" t="s">
        <v>1</v>
      </c>
      <c r="F1" s="1" t="s">
        <v>2</v>
      </c>
      <c r="G1" s="1" t="s">
        <v>248</v>
      </c>
      <c r="H1" s="1" t="s">
        <v>238</v>
      </c>
      <c r="I1" s="1" t="s">
        <v>239</v>
      </c>
      <c r="J1" s="1" t="s">
        <v>244</v>
      </c>
      <c r="K1" s="1" t="s">
        <v>246</v>
      </c>
      <c r="L1" s="1" t="s">
        <v>245</v>
      </c>
      <c r="M1" s="1" t="s">
        <v>247</v>
      </c>
      <c r="N1" s="1" t="s">
        <v>249</v>
      </c>
    </row>
    <row r="2" spans="1:14" ht="18.600000000000001" x14ac:dyDescent="0.25">
      <c r="A2" s="11" t="s">
        <v>3</v>
      </c>
      <c r="B2" s="98" t="s">
        <v>250</v>
      </c>
      <c r="C2" s="98" t="s">
        <v>131</v>
      </c>
      <c r="D2" s="11" t="s">
        <v>131</v>
      </c>
      <c r="E2" s="2">
        <v>34360</v>
      </c>
      <c r="F2" s="2">
        <v>65000</v>
      </c>
      <c r="G2" s="2" t="e">
        <f>SUMIF(#REF!,invoice2[[#This Row],[شماره پیش فاکتور]],#REF!)</f>
        <v>#REF!</v>
      </c>
      <c r="H2" s="2" t="e">
        <f>invoice2[[#This Row],[میزان سفارش]]-invoice2[[#This Row],[حمل شده]]</f>
        <v>#REF!</v>
      </c>
      <c r="I2" s="2" t="s">
        <v>240</v>
      </c>
      <c r="J2" s="6" t="e">
        <f>invoice2[[#This Row],[مانده]]*0.6</f>
        <v>#REF!</v>
      </c>
      <c r="K2" s="6"/>
      <c r="L2" s="6"/>
      <c r="M2" s="6"/>
      <c r="N2" s="6"/>
    </row>
    <row r="3" spans="1:14" ht="18.600000000000001" x14ac:dyDescent="0.25">
      <c r="A3" s="11" t="s">
        <v>4</v>
      </c>
      <c r="B3" s="98" t="s">
        <v>250</v>
      </c>
      <c r="C3" s="98" t="s">
        <v>132</v>
      </c>
      <c r="D3" s="11" t="s">
        <v>169</v>
      </c>
      <c r="E3" s="2">
        <v>85900</v>
      </c>
      <c r="F3" s="2">
        <v>65000</v>
      </c>
      <c r="G3" s="2" t="e">
        <f>SUMIF(#REF!,invoice2[[#This Row],[شماره پیش فاکتور]],#REF!)</f>
        <v>#REF!</v>
      </c>
      <c r="H3" s="2" t="e">
        <f>invoice2[[#This Row],[میزان سفارش]]-invoice2[[#This Row],[حمل شده]]</f>
        <v>#REF!</v>
      </c>
      <c r="I3" s="2" t="s">
        <v>240</v>
      </c>
      <c r="J3" s="5" t="e">
        <f>invoice2[[#This Row],[مانده]]*0.6</f>
        <v>#REF!</v>
      </c>
      <c r="K3" s="5"/>
      <c r="L3" s="5"/>
      <c r="M3" s="5"/>
      <c r="N3" s="5"/>
    </row>
    <row r="4" spans="1:14" ht="18.600000000000001" x14ac:dyDescent="0.25">
      <c r="A4" s="11" t="s">
        <v>5</v>
      </c>
      <c r="B4" s="98" t="s">
        <v>250</v>
      </c>
      <c r="C4" s="98" t="s">
        <v>133</v>
      </c>
      <c r="D4" s="11" t="s">
        <v>185</v>
      </c>
      <c r="E4" s="2">
        <v>120000</v>
      </c>
      <c r="F4" s="2">
        <v>100000</v>
      </c>
      <c r="G4" s="2" t="e">
        <f>SUMIF(#REF!,invoice2[[#This Row],[شماره پیش فاکتور]],#REF!)</f>
        <v>#REF!</v>
      </c>
      <c r="H4" s="2" t="e">
        <f>invoice2[[#This Row],[میزان سفارش]]-invoice2[[#This Row],[حمل شده]]</f>
        <v>#REF!</v>
      </c>
      <c r="I4" s="2" t="s">
        <v>241</v>
      </c>
      <c r="J4" s="5" t="e">
        <f>invoice2[[#This Row],[مانده]]*0.6</f>
        <v>#REF!</v>
      </c>
      <c r="K4" s="5"/>
      <c r="L4" s="5"/>
      <c r="M4" s="5"/>
      <c r="N4" s="5"/>
    </row>
    <row r="5" spans="1:14" ht="18.600000000000001" x14ac:dyDescent="0.25">
      <c r="A5" s="11" t="s">
        <v>6</v>
      </c>
      <c r="B5" s="98" t="s">
        <v>250</v>
      </c>
      <c r="C5" s="98" t="s">
        <v>134</v>
      </c>
      <c r="D5" s="11" t="s">
        <v>233</v>
      </c>
      <c r="E5" s="2">
        <v>20000</v>
      </c>
      <c r="F5" s="2">
        <v>92180</v>
      </c>
      <c r="G5" s="2" t="e">
        <f>SUMIF(#REF!,invoice2[[#This Row],[شماره پیش فاکتور]],#REF!)</f>
        <v>#REF!</v>
      </c>
      <c r="H5" s="2" t="e">
        <f>invoice2[[#This Row],[میزان سفارش]]-invoice2[[#This Row],[حمل شده]]</f>
        <v>#REF!</v>
      </c>
      <c r="I5" s="2" t="s">
        <v>242</v>
      </c>
      <c r="J5" s="5" t="e">
        <f>invoice2[[#This Row],[مانده]]*0.6</f>
        <v>#REF!</v>
      </c>
      <c r="K5" s="5"/>
      <c r="L5" s="5"/>
      <c r="M5" s="5"/>
      <c r="N5" s="5"/>
    </row>
    <row r="6" spans="1:14" ht="18.600000000000001" x14ac:dyDescent="0.25">
      <c r="A6" s="11" t="s">
        <v>12</v>
      </c>
      <c r="B6" s="98" t="s">
        <v>251</v>
      </c>
      <c r="C6" s="98" t="s">
        <v>140</v>
      </c>
      <c r="D6" s="11" t="s">
        <v>140</v>
      </c>
      <c r="E6" s="2">
        <v>1000000</v>
      </c>
      <c r="F6" s="2">
        <v>86500</v>
      </c>
      <c r="G6" s="2" t="e">
        <f>SUMIF(#REF!,invoice2[[#This Row],[شماره پیش فاکتور]],#REF!)</f>
        <v>#REF!</v>
      </c>
      <c r="H6" s="2" t="e">
        <f>invoice2[[#This Row],[میزان سفارش]]-invoice2[[#This Row],[حمل شده]]</f>
        <v>#REF!</v>
      </c>
      <c r="I6" s="2" t="s">
        <v>243</v>
      </c>
      <c r="J6" s="5"/>
      <c r="K6" s="5"/>
      <c r="L6" s="5"/>
      <c r="M6" s="5"/>
      <c r="N6" s="5"/>
    </row>
    <row r="7" spans="1:14" ht="18.600000000000001" x14ac:dyDescent="0.25">
      <c r="A7" s="11" t="s">
        <v>15</v>
      </c>
      <c r="B7" s="98" t="s">
        <v>100</v>
      </c>
      <c r="C7" s="98" t="s">
        <v>133</v>
      </c>
      <c r="D7" s="11" t="s">
        <v>185</v>
      </c>
      <c r="E7" s="2">
        <v>300000</v>
      </c>
      <c r="F7" s="2">
        <v>100000</v>
      </c>
      <c r="G7" s="2" t="e">
        <f>SUMIF(#REF!,invoice2[[#This Row],[شماره پیش فاکتور]],#REF!)</f>
        <v>#REF!</v>
      </c>
      <c r="H7" s="2" t="e">
        <f>invoice2[[#This Row],[میزان سفارش]]-invoice2[[#This Row],[حمل شده]]</f>
        <v>#REF!</v>
      </c>
      <c r="I7" s="2" t="s">
        <v>241</v>
      </c>
      <c r="J7" s="5"/>
      <c r="K7" s="5"/>
      <c r="L7" s="5"/>
      <c r="M7" s="5"/>
      <c r="N7" s="5"/>
    </row>
    <row r="8" spans="1:14" ht="18.600000000000001" x14ac:dyDescent="0.25">
      <c r="A8" s="11" t="s">
        <v>16</v>
      </c>
      <c r="B8" s="98" t="s">
        <v>101</v>
      </c>
      <c r="C8" s="98" t="s">
        <v>133</v>
      </c>
      <c r="D8" s="11" t="s">
        <v>185</v>
      </c>
      <c r="E8" s="2">
        <v>100000</v>
      </c>
      <c r="F8" s="2">
        <v>100000</v>
      </c>
      <c r="G8" s="2" t="e">
        <f>SUMIF(#REF!,invoice2[[#This Row],[شماره پیش فاکتور]],#REF!)</f>
        <v>#REF!</v>
      </c>
      <c r="H8" s="2" t="e">
        <f>invoice2[[#This Row],[میزان سفارش]]-invoice2[[#This Row],[حمل شده]]</f>
        <v>#REF!</v>
      </c>
      <c r="I8" s="2" t="s">
        <v>241</v>
      </c>
      <c r="J8" s="5"/>
      <c r="K8" s="5"/>
      <c r="L8" s="5"/>
      <c r="M8" s="5"/>
      <c r="N8" s="5"/>
    </row>
    <row r="9" spans="1:14" ht="18.600000000000001" x14ac:dyDescent="0.25">
      <c r="A9" s="11" t="s">
        <v>19</v>
      </c>
      <c r="B9" s="98" t="s">
        <v>101</v>
      </c>
      <c r="C9" s="98" t="s">
        <v>143</v>
      </c>
      <c r="D9" s="11" t="s">
        <v>192</v>
      </c>
      <c r="E9" s="2">
        <v>500000</v>
      </c>
      <c r="F9" s="2">
        <v>75000</v>
      </c>
      <c r="G9" s="2" t="e">
        <f>SUMIF(#REF!,invoice2[[#This Row],[شماره پیش فاکتور]],#REF!)</f>
        <v>#REF!</v>
      </c>
      <c r="H9" s="2" t="e">
        <f>invoice2[[#This Row],[میزان سفارش]]-invoice2[[#This Row],[حمل شده]]</f>
        <v>#REF!</v>
      </c>
      <c r="I9" s="2" t="s">
        <v>243</v>
      </c>
      <c r="J9" s="5"/>
      <c r="K9" s="5"/>
      <c r="L9" s="5"/>
      <c r="M9" s="5"/>
      <c r="N9" s="5"/>
    </row>
    <row r="10" spans="1:14" ht="18.600000000000001" x14ac:dyDescent="0.25">
      <c r="A10" s="11" t="s">
        <v>22</v>
      </c>
      <c r="B10" s="98" t="s">
        <v>102</v>
      </c>
      <c r="C10" s="98" t="s">
        <v>144</v>
      </c>
      <c r="D10" s="11" t="s">
        <v>144</v>
      </c>
      <c r="E10" s="2">
        <v>150000</v>
      </c>
      <c r="F10" s="2">
        <v>89000</v>
      </c>
      <c r="G10" s="2" t="e">
        <f>SUMIF(#REF!,invoice2[[#This Row],[شماره پیش فاکتور]],#REF!)</f>
        <v>#REF!</v>
      </c>
      <c r="H10" s="2" t="e">
        <f>invoice2[[#This Row],[میزان سفارش]]-invoice2[[#This Row],[حمل شده]]</f>
        <v>#REF!</v>
      </c>
      <c r="I10" s="2" t="s">
        <v>243</v>
      </c>
      <c r="J10" s="5"/>
      <c r="K10" s="5"/>
      <c r="L10" s="5"/>
      <c r="M10" s="5"/>
      <c r="N10" s="5"/>
    </row>
    <row r="11" spans="1:14" ht="18.600000000000001" x14ac:dyDescent="0.25">
      <c r="A11" s="11" t="s">
        <v>23</v>
      </c>
      <c r="B11" s="98" t="s">
        <v>102</v>
      </c>
      <c r="C11" s="98" t="s">
        <v>133</v>
      </c>
      <c r="D11" s="11" t="s">
        <v>185</v>
      </c>
      <c r="E11" s="2">
        <v>700000</v>
      </c>
      <c r="F11" s="2">
        <v>100000</v>
      </c>
      <c r="G11" s="2" t="e">
        <f>SUMIF(#REF!,invoice2[[#This Row],[شماره پیش فاکتور]],#REF!)</f>
        <v>#REF!</v>
      </c>
      <c r="H11" s="2" t="e">
        <f>invoice2[[#This Row],[میزان سفارش]]-invoice2[[#This Row],[حمل شده]]</f>
        <v>#REF!</v>
      </c>
      <c r="I11" s="2" t="s">
        <v>241</v>
      </c>
      <c r="J11" s="5"/>
      <c r="K11" s="5"/>
      <c r="L11" s="5"/>
      <c r="M11" s="5"/>
      <c r="N11" s="5"/>
    </row>
    <row r="12" spans="1:14" ht="18.600000000000001" x14ac:dyDescent="0.25">
      <c r="A12" s="11" t="s">
        <v>24</v>
      </c>
      <c r="B12" s="98" t="s">
        <v>102</v>
      </c>
      <c r="C12" s="98" t="s">
        <v>145</v>
      </c>
      <c r="D12" s="11" t="s">
        <v>195</v>
      </c>
      <c r="E12" s="2">
        <v>500000</v>
      </c>
      <c r="F12" s="2">
        <v>70000</v>
      </c>
      <c r="G12" s="2" t="e">
        <f>SUMIF(#REF!,invoice2[[#This Row],[شماره پیش فاکتور]],#REF!)</f>
        <v>#REF!</v>
      </c>
      <c r="H12" s="2" t="e">
        <f>invoice2[[#This Row],[میزان سفارش]]-invoice2[[#This Row],[حمل شده]]</f>
        <v>#REF!</v>
      </c>
      <c r="I12" s="2" t="s">
        <v>243</v>
      </c>
      <c r="J12" s="5"/>
      <c r="K12" s="5"/>
      <c r="L12" s="5"/>
      <c r="M12" s="5"/>
      <c r="N12" s="5"/>
    </row>
    <row r="13" spans="1:14" ht="18.600000000000001" x14ac:dyDescent="0.25">
      <c r="A13" s="11" t="s">
        <v>28</v>
      </c>
      <c r="B13" s="98" t="s">
        <v>252</v>
      </c>
      <c r="C13" s="98" t="s">
        <v>133</v>
      </c>
      <c r="D13" s="11" t="s">
        <v>185</v>
      </c>
      <c r="E13" s="2">
        <v>1000000</v>
      </c>
      <c r="F13" s="2">
        <v>100000</v>
      </c>
      <c r="G13" s="2" t="e">
        <f>SUMIF(#REF!,invoice2[[#This Row],[شماره پیش فاکتور]],#REF!)</f>
        <v>#REF!</v>
      </c>
      <c r="H13" s="2" t="e">
        <f>invoice2[[#This Row],[میزان سفارش]]-invoice2[[#This Row],[حمل شده]]</f>
        <v>#REF!</v>
      </c>
      <c r="I13" s="2" t="s">
        <v>241</v>
      </c>
      <c r="J13" s="5"/>
      <c r="K13" s="5"/>
      <c r="L13" s="5"/>
      <c r="M13" s="5"/>
      <c r="N13" s="5"/>
    </row>
    <row r="14" spans="1:14" ht="18.600000000000001" x14ac:dyDescent="0.25">
      <c r="A14" s="11" t="s">
        <v>29</v>
      </c>
      <c r="B14" s="98" t="s">
        <v>252</v>
      </c>
      <c r="C14" s="98" t="s">
        <v>148</v>
      </c>
      <c r="D14" s="11" t="s">
        <v>198</v>
      </c>
      <c r="E14" s="2">
        <v>300000</v>
      </c>
      <c r="F14" s="2">
        <v>75000</v>
      </c>
      <c r="G14" s="2" t="e">
        <f>SUMIF(#REF!,invoice2[[#This Row],[شماره پیش فاکتور]],#REF!)</f>
        <v>#REF!</v>
      </c>
      <c r="H14" s="2" t="e">
        <f>invoice2[[#This Row],[میزان سفارش]]-invoice2[[#This Row],[حمل شده]]</f>
        <v>#REF!</v>
      </c>
      <c r="I14" s="2" t="s">
        <v>243</v>
      </c>
      <c r="J14" s="5"/>
      <c r="K14" s="5"/>
      <c r="L14" s="5"/>
      <c r="M14" s="5"/>
      <c r="N14" s="5"/>
    </row>
    <row r="15" spans="1:14" ht="18.600000000000001" x14ac:dyDescent="0.25">
      <c r="A15" s="11" t="s">
        <v>34</v>
      </c>
      <c r="B15" s="98" t="s">
        <v>253</v>
      </c>
      <c r="C15" s="98" t="s">
        <v>152</v>
      </c>
      <c r="D15" s="11" t="s">
        <v>152</v>
      </c>
      <c r="E15" s="2">
        <v>50000</v>
      </c>
      <c r="F15" s="2">
        <v>66200</v>
      </c>
      <c r="G15" s="2" t="e">
        <f>SUMIF(#REF!,invoice2[[#This Row],[شماره پیش فاکتور]],#REF!)</f>
        <v>#REF!</v>
      </c>
      <c r="H15" s="2" t="e">
        <f>invoice2[[#This Row],[میزان سفارش]]-invoice2[[#This Row],[حمل شده]]</f>
        <v>#REF!</v>
      </c>
      <c r="I15" s="2" t="s">
        <v>240</v>
      </c>
      <c r="J15" s="5"/>
      <c r="K15" s="5"/>
      <c r="L15" s="5"/>
      <c r="M15" s="5"/>
      <c r="N15" s="5"/>
    </row>
    <row r="16" spans="1:14" ht="18.600000000000001" x14ac:dyDescent="0.25">
      <c r="A16" s="11" t="s">
        <v>35</v>
      </c>
      <c r="B16" s="98" t="s">
        <v>253</v>
      </c>
      <c r="C16" s="98" t="s">
        <v>133</v>
      </c>
      <c r="D16" s="11" t="s">
        <v>185</v>
      </c>
      <c r="E16" s="2">
        <v>180000</v>
      </c>
      <c r="F16" s="2">
        <v>100000</v>
      </c>
      <c r="G16" s="2" t="e">
        <f>SUMIF(#REF!,invoice2[[#This Row],[شماره پیش فاکتور]],#REF!)</f>
        <v>#REF!</v>
      </c>
      <c r="H16" s="2" t="e">
        <f>invoice2[[#This Row],[میزان سفارش]]-invoice2[[#This Row],[حمل شده]]</f>
        <v>#REF!</v>
      </c>
      <c r="I16" s="2" t="s">
        <v>241</v>
      </c>
      <c r="J16" s="5"/>
      <c r="K16" s="5"/>
      <c r="L16" s="5"/>
      <c r="M16" s="5"/>
      <c r="N16" s="5"/>
    </row>
    <row r="17" spans="1:14" ht="18.600000000000001" x14ac:dyDescent="0.25">
      <c r="A17" s="11" t="s">
        <v>36</v>
      </c>
      <c r="B17" s="98" t="s">
        <v>253</v>
      </c>
      <c r="C17" s="98" t="s">
        <v>133</v>
      </c>
      <c r="D17" s="11" t="s">
        <v>185</v>
      </c>
      <c r="E17" s="2">
        <v>300000</v>
      </c>
      <c r="F17" s="2">
        <v>100000</v>
      </c>
      <c r="G17" s="2" t="e">
        <f>SUMIF(#REF!,invoice2[[#This Row],[شماره پیش فاکتور]],#REF!)</f>
        <v>#REF!</v>
      </c>
      <c r="H17" s="2" t="e">
        <f>invoice2[[#This Row],[میزان سفارش]]-invoice2[[#This Row],[حمل شده]]</f>
        <v>#REF!</v>
      </c>
      <c r="I17" s="2" t="s">
        <v>241</v>
      </c>
      <c r="J17" s="5"/>
      <c r="K17" s="5"/>
      <c r="L17" s="5"/>
      <c r="M17" s="5"/>
      <c r="N17" s="5"/>
    </row>
    <row r="18" spans="1:14" ht="18.600000000000001" x14ac:dyDescent="0.25">
      <c r="A18" s="11" t="s">
        <v>37</v>
      </c>
      <c r="B18" s="98" t="s">
        <v>253</v>
      </c>
      <c r="C18" s="98" t="s">
        <v>152</v>
      </c>
      <c r="D18" s="11" t="s">
        <v>185</v>
      </c>
      <c r="E18" s="2">
        <v>300000</v>
      </c>
      <c r="F18" s="2">
        <v>100000</v>
      </c>
      <c r="G18" s="2" t="e">
        <f>SUMIF(#REF!,invoice2[[#This Row],[شماره پیش فاکتور]],#REF!)</f>
        <v>#REF!</v>
      </c>
      <c r="H18" s="2" t="e">
        <f>invoice2[[#This Row],[میزان سفارش]]-invoice2[[#This Row],[حمل شده]]</f>
        <v>#REF!</v>
      </c>
      <c r="I18" s="2" t="s">
        <v>241</v>
      </c>
      <c r="J18" s="5"/>
      <c r="K18" s="5"/>
      <c r="L18" s="5"/>
      <c r="M18" s="5"/>
      <c r="N18" s="5"/>
    </row>
    <row r="19" spans="1:14" ht="18.600000000000001" x14ac:dyDescent="0.25">
      <c r="A19" s="11" t="s">
        <v>38</v>
      </c>
      <c r="B19" s="98" t="s">
        <v>253</v>
      </c>
      <c r="C19" s="98" t="s">
        <v>153</v>
      </c>
      <c r="D19" s="11" t="s">
        <v>153</v>
      </c>
      <c r="E19" s="2">
        <v>50000</v>
      </c>
      <c r="F19" s="2">
        <v>83800</v>
      </c>
      <c r="G19" s="2" t="e">
        <f>SUMIF(#REF!,invoice2[[#This Row],[شماره پیش فاکتور]],#REF!)</f>
        <v>#REF!</v>
      </c>
      <c r="H19" s="2" t="e">
        <f>invoice2[[#This Row],[میزان سفارش]]-invoice2[[#This Row],[حمل شده]]</f>
        <v>#REF!</v>
      </c>
      <c r="I19" s="2" t="s">
        <v>242</v>
      </c>
      <c r="J19" s="5"/>
      <c r="K19" s="5"/>
      <c r="L19" s="5"/>
      <c r="M19" s="5"/>
      <c r="N19" s="5"/>
    </row>
    <row r="20" spans="1:14" ht="18.600000000000001" x14ac:dyDescent="0.25">
      <c r="A20" s="11" t="s">
        <v>39</v>
      </c>
      <c r="B20" s="98" t="s">
        <v>253</v>
      </c>
      <c r="C20" s="98" t="s">
        <v>154</v>
      </c>
      <c r="D20" s="11" t="s">
        <v>201</v>
      </c>
      <c r="E20" s="2">
        <v>85900</v>
      </c>
      <c r="F20" s="2">
        <v>65000</v>
      </c>
      <c r="G20" s="2" t="e">
        <f>SUMIF(#REF!,invoice2[[#This Row],[شماره پیش فاکتور]],#REF!)</f>
        <v>#REF!</v>
      </c>
      <c r="H20" s="2" t="e">
        <f>invoice2[[#This Row],[میزان سفارش]]-invoice2[[#This Row],[حمل شده]]</f>
        <v>#REF!</v>
      </c>
      <c r="I20" s="2" t="s">
        <v>240</v>
      </c>
      <c r="J20" s="5"/>
      <c r="K20" s="5"/>
      <c r="L20" s="5"/>
      <c r="M20" s="5"/>
      <c r="N20" s="5"/>
    </row>
    <row r="21" spans="1:14" ht="18.600000000000001" x14ac:dyDescent="0.25">
      <c r="A21" s="11" t="s">
        <v>43</v>
      </c>
      <c r="B21" s="98" t="s">
        <v>105</v>
      </c>
      <c r="C21" s="98" t="s">
        <v>133</v>
      </c>
      <c r="D21" s="11" t="s">
        <v>185</v>
      </c>
      <c r="E21" s="2">
        <v>600000</v>
      </c>
      <c r="F21" s="2">
        <v>100000</v>
      </c>
      <c r="G21" s="2" t="e">
        <f>SUMIF(#REF!,invoice2[[#This Row],[شماره پیش فاکتور]],#REF!)</f>
        <v>#REF!</v>
      </c>
      <c r="H21" s="2" t="e">
        <f>invoice2[[#This Row],[میزان سفارش]]-invoice2[[#This Row],[حمل شده]]</f>
        <v>#REF!</v>
      </c>
      <c r="I21" s="2" t="s">
        <v>241</v>
      </c>
      <c r="J21" s="5"/>
      <c r="K21" s="5"/>
      <c r="L21" s="5"/>
      <c r="M21" s="5"/>
      <c r="N21" s="5"/>
    </row>
    <row r="22" spans="1:14" ht="18.600000000000001" x14ac:dyDescent="0.25">
      <c r="A22" s="11" t="s">
        <v>44</v>
      </c>
      <c r="B22" s="98" t="s">
        <v>106</v>
      </c>
      <c r="C22" s="98" t="s">
        <v>157</v>
      </c>
      <c r="D22" s="11" t="s">
        <v>157</v>
      </c>
      <c r="E22" s="2">
        <v>1000000</v>
      </c>
      <c r="F22" s="2">
        <v>80000</v>
      </c>
      <c r="G22" s="2" t="e">
        <f>SUMIF(#REF!,invoice2[[#This Row],[شماره پیش فاکتور]],#REF!)</f>
        <v>#REF!</v>
      </c>
      <c r="H22" s="2" t="e">
        <f>invoice2[[#This Row],[میزان سفارش]]-invoice2[[#This Row],[حمل شده]]</f>
        <v>#REF!</v>
      </c>
      <c r="I22" s="2" t="s">
        <v>243</v>
      </c>
      <c r="J22" s="5"/>
      <c r="K22" s="5"/>
      <c r="L22" s="5"/>
      <c r="M22" s="5"/>
      <c r="N22" s="5"/>
    </row>
    <row r="23" spans="1:14" ht="18.600000000000001" x14ac:dyDescent="0.25">
      <c r="A23" s="11" t="s">
        <v>45</v>
      </c>
      <c r="B23" s="98" t="s">
        <v>106</v>
      </c>
      <c r="C23" s="98" t="s">
        <v>154</v>
      </c>
      <c r="D23" s="11" t="s">
        <v>203</v>
      </c>
      <c r="E23" s="2">
        <v>300000</v>
      </c>
      <c r="F23" s="2">
        <v>80000</v>
      </c>
      <c r="G23" s="2" t="e">
        <f>SUMIF(#REF!,invoice2[[#This Row],[شماره پیش فاکتور]],#REF!)</f>
        <v>#REF!</v>
      </c>
      <c r="H23" s="2" t="e">
        <f>invoice2[[#This Row],[میزان سفارش]]-invoice2[[#This Row],[حمل شده]]</f>
        <v>#REF!</v>
      </c>
      <c r="I23" s="2" t="s">
        <v>243</v>
      </c>
      <c r="J23" s="5"/>
      <c r="K23" s="5"/>
      <c r="L23" s="5"/>
      <c r="M23" s="5"/>
      <c r="N23" s="5"/>
    </row>
    <row r="24" spans="1:14" ht="18.600000000000001" x14ac:dyDescent="0.25">
      <c r="A24" s="11" t="s">
        <v>50</v>
      </c>
      <c r="B24" s="98" t="s">
        <v>107</v>
      </c>
      <c r="C24" s="98" t="s">
        <v>145</v>
      </c>
      <c r="D24" s="11" t="s">
        <v>205</v>
      </c>
      <c r="E24" s="2">
        <v>3500000</v>
      </c>
      <c r="F24" s="2">
        <v>70000</v>
      </c>
      <c r="G24" s="2" t="e">
        <f>SUMIF(#REF!,invoice2[[#This Row],[شماره پیش فاکتور]],#REF!)</f>
        <v>#REF!</v>
      </c>
      <c r="H24" s="2" t="e">
        <f>invoice2[[#This Row],[میزان سفارش]]-invoice2[[#This Row],[حمل شده]]</f>
        <v>#REF!</v>
      </c>
      <c r="I24" s="2" t="s">
        <v>243</v>
      </c>
      <c r="J24" s="5"/>
      <c r="K24" s="5"/>
      <c r="L24" s="5"/>
      <c r="M24" s="5"/>
      <c r="N24" s="5"/>
    </row>
    <row r="25" spans="1:14" ht="18.600000000000001" x14ac:dyDescent="0.25">
      <c r="A25" s="11" t="s">
        <v>52</v>
      </c>
      <c r="B25" s="98" t="s">
        <v>108</v>
      </c>
      <c r="C25" s="98" t="s">
        <v>160</v>
      </c>
      <c r="D25" s="11" t="s">
        <v>207</v>
      </c>
      <c r="E25" s="2">
        <v>40000</v>
      </c>
      <c r="F25" s="2">
        <v>90000</v>
      </c>
      <c r="G25" s="2" t="e">
        <f>SUMIF(#REF!,invoice2[[#This Row],[شماره پیش فاکتور]],#REF!)</f>
        <v>#REF!</v>
      </c>
      <c r="H25" s="2" t="e">
        <f>invoice2[[#This Row],[میزان سفارش]]-invoice2[[#This Row],[حمل شده]]</f>
        <v>#REF!</v>
      </c>
      <c r="I25" s="2" t="s">
        <v>243</v>
      </c>
      <c r="J25" s="5"/>
      <c r="K25" s="5"/>
      <c r="L25" s="5"/>
      <c r="M25" s="5"/>
      <c r="N25" s="5"/>
    </row>
    <row r="26" spans="1:14" ht="18.600000000000001" x14ac:dyDescent="0.25">
      <c r="A26" s="11" t="s">
        <v>56</v>
      </c>
      <c r="B26" s="98" t="s">
        <v>109</v>
      </c>
      <c r="C26" s="98" t="s">
        <v>133</v>
      </c>
      <c r="D26" s="11" t="s">
        <v>185</v>
      </c>
      <c r="E26" s="2">
        <v>2500000</v>
      </c>
      <c r="F26" s="2">
        <v>100000</v>
      </c>
      <c r="G26" s="2" t="e">
        <f>SUMIF(#REF!,invoice2[[#This Row],[شماره پیش فاکتور]],#REF!)</f>
        <v>#REF!</v>
      </c>
      <c r="H26" s="2" t="e">
        <f>invoice2[[#This Row],[میزان سفارش]]-invoice2[[#This Row],[حمل شده]]</f>
        <v>#REF!</v>
      </c>
      <c r="I26" s="2" t="s">
        <v>241</v>
      </c>
      <c r="J26" s="5"/>
      <c r="K26" s="5"/>
      <c r="L26" s="5"/>
      <c r="M26" s="5"/>
      <c r="N26" s="5"/>
    </row>
    <row r="27" spans="1:14" ht="18.600000000000001" x14ac:dyDescent="0.25">
      <c r="A27" s="11" t="s">
        <v>57</v>
      </c>
      <c r="B27" s="98" t="s">
        <v>110</v>
      </c>
      <c r="C27" s="98" t="s">
        <v>163</v>
      </c>
      <c r="D27" s="11" t="s">
        <v>210</v>
      </c>
      <c r="E27" s="2">
        <v>500000</v>
      </c>
      <c r="F27" s="2">
        <v>78000</v>
      </c>
      <c r="G27" s="2" t="e">
        <f>SUMIF(#REF!,invoice2[[#This Row],[شماره پیش فاکتور]],#REF!)</f>
        <v>#REF!</v>
      </c>
      <c r="H27" s="2" t="e">
        <f>invoice2[[#This Row],[میزان سفارش]]-invoice2[[#This Row],[حمل شده]]</f>
        <v>#REF!</v>
      </c>
      <c r="I27" s="2" t="s">
        <v>243</v>
      </c>
      <c r="J27" s="5"/>
      <c r="K27" s="5"/>
      <c r="L27" s="5"/>
      <c r="M27" s="5"/>
      <c r="N27" s="5"/>
    </row>
    <row r="28" spans="1:14" ht="18.600000000000001" x14ac:dyDescent="0.25">
      <c r="A28" s="11" t="s">
        <v>61</v>
      </c>
      <c r="B28" s="98" t="s">
        <v>254</v>
      </c>
      <c r="C28" s="98" t="s">
        <v>165</v>
      </c>
      <c r="D28" s="11" t="s">
        <v>213</v>
      </c>
      <c r="E28" s="2">
        <v>1000000</v>
      </c>
      <c r="F28" s="2">
        <v>75000</v>
      </c>
      <c r="G28" s="2" t="e">
        <f>SUMIF(#REF!,invoice2[[#This Row],[شماره پیش فاکتور]],#REF!)</f>
        <v>#REF!</v>
      </c>
      <c r="H28" s="2" t="e">
        <f>invoice2[[#This Row],[میزان سفارش]]-invoice2[[#This Row],[حمل شده]]</f>
        <v>#REF!</v>
      </c>
      <c r="I28" s="2" t="s">
        <v>243</v>
      </c>
      <c r="J28" s="5"/>
      <c r="K28" s="5"/>
      <c r="L28" s="5"/>
      <c r="M28" s="5"/>
      <c r="N28" s="5"/>
    </row>
    <row r="29" spans="1:14" ht="18.600000000000001" x14ac:dyDescent="0.25">
      <c r="A29" s="11" t="s">
        <v>62</v>
      </c>
      <c r="B29" s="98" t="s">
        <v>255</v>
      </c>
      <c r="C29" s="98" t="s">
        <v>166</v>
      </c>
      <c r="D29" s="11" t="s">
        <v>166</v>
      </c>
      <c r="E29" s="2">
        <v>500000</v>
      </c>
      <c r="F29" s="2">
        <v>75000</v>
      </c>
      <c r="G29" s="2" t="e">
        <f>SUMIF(#REF!,invoice2[[#This Row],[شماره پیش فاکتور]],#REF!)</f>
        <v>#REF!</v>
      </c>
      <c r="H29" s="2" t="e">
        <f>invoice2[[#This Row],[میزان سفارش]]-invoice2[[#This Row],[حمل شده]]</f>
        <v>#REF!</v>
      </c>
      <c r="I29" s="2" t="s">
        <v>243</v>
      </c>
      <c r="J29" s="5"/>
      <c r="K29" s="5"/>
      <c r="L29" s="5"/>
      <c r="M29" s="5"/>
      <c r="N29" s="5"/>
    </row>
    <row r="30" spans="1:14" ht="18.600000000000001" x14ac:dyDescent="0.25">
      <c r="A30" s="11" t="s">
        <v>67</v>
      </c>
      <c r="B30" s="98" t="s">
        <v>116</v>
      </c>
      <c r="C30" s="98" t="s">
        <v>169</v>
      </c>
      <c r="D30" s="11" t="s">
        <v>169</v>
      </c>
      <c r="E30" s="2">
        <v>51540</v>
      </c>
      <c r="F30" s="2">
        <v>65000</v>
      </c>
      <c r="G30" s="2" t="e">
        <f>SUMIF(#REF!,invoice2[[#This Row],[شماره پیش فاکتور]],#REF!)</f>
        <v>#REF!</v>
      </c>
      <c r="H30" s="2" t="e">
        <f>invoice2[[#This Row],[میزان سفارش]]-invoice2[[#This Row],[حمل شده]]</f>
        <v>#REF!</v>
      </c>
      <c r="I30" s="2" t="s">
        <v>240</v>
      </c>
      <c r="J30" s="5"/>
      <c r="K30" s="5"/>
      <c r="L30" s="5"/>
      <c r="M30" s="5"/>
      <c r="N30" s="5"/>
    </row>
    <row r="31" spans="1:14" ht="18.600000000000001" x14ac:dyDescent="0.25">
      <c r="A31" s="11" t="s">
        <v>68</v>
      </c>
      <c r="B31" s="98" t="s">
        <v>116</v>
      </c>
      <c r="C31" s="98" t="s">
        <v>133</v>
      </c>
      <c r="D31" s="11" t="s">
        <v>185</v>
      </c>
      <c r="E31" s="2">
        <v>300000</v>
      </c>
      <c r="F31" s="2">
        <v>100000</v>
      </c>
      <c r="G31" s="2" t="e">
        <f>SUMIF(#REF!,invoice2[[#This Row],[شماره پیش فاکتور]],#REF!)</f>
        <v>#REF!</v>
      </c>
      <c r="H31" s="2" t="e">
        <f>invoice2[[#This Row],[میزان سفارش]]-invoice2[[#This Row],[حمل شده]]</f>
        <v>#REF!</v>
      </c>
      <c r="I31" s="2" t="s">
        <v>241</v>
      </c>
      <c r="J31" s="5"/>
      <c r="K31" s="5"/>
      <c r="L31" s="5"/>
      <c r="M31" s="5"/>
      <c r="N31" s="5"/>
    </row>
    <row r="32" spans="1:14" ht="18.600000000000001" x14ac:dyDescent="0.25">
      <c r="A32" s="11" t="s">
        <v>69</v>
      </c>
      <c r="B32" s="98" t="s">
        <v>116</v>
      </c>
      <c r="C32" s="98" t="s">
        <v>170</v>
      </c>
      <c r="D32" s="11" t="s">
        <v>185</v>
      </c>
      <c r="E32" s="2">
        <v>1000000</v>
      </c>
      <c r="F32" s="2">
        <v>100000</v>
      </c>
      <c r="G32" s="2" t="e">
        <f>SUMIF(#REF!,invoice2[[#This Row],[شماره پیش فاکتور]],#REF!)</f>
        <v>#REF!</v>
      </c>
      <c r="H32" s="2" t="e">
        <f>invoice2[[#This Row],[میزان سفارش]]-invoice2[[#This Row],[حمل شده]]</f>
        <v>#REF!</v>
      </c>
      <c r="I32" s="2" t="s">
        <v>241</v>
      </c>
      <c r="J32" s="5"/>
      <c r="K32" s="5"/>
      <c r="L32" s="5"/>
      <c r="M32" s="5"/>
      <c r="N32" s="5"/>
    </row>
    <row r="33" spans="1:14" ht="18.600000000000001" x14ac:dyDescent="0.25">
      <c r="A33" s="11" t="s">
        <v>70</v>
      </c>
      <c r="B33" s="98" t="s">
        <v>116</v>
      </c>
      <c r="C33" s="98" t="s">
        <v>134</v>
      </c>
      <c r="D33" s="11" t="s">
        <v>134</v>
      </c>
      <c r="E33" s="2">
        <v>30000</v>
      </c>
      <c r="F33" s="2">
        <v>92179</v>
      </c>
      <c r="G33" s="2" t="e">
        <f>SUMIF(#REF!,invoice2[[#This Row],[شماره پیش فاکتور]],#REF!)</f>
        <v>#REF!</v>
      </c>
      <c r="H33" s="2" t="e">
        <f>invoice2[[#This Row],[میزان سفارش]]-invoice2[[#This Row],[حمل شده]]</f>
        <v>#REF!</v>
      </c>
      <c r="I33" s="2" t="s">
        <v>242</v>
      </c>
      <c r="J33" s="5"/>
      <c r="K33" s="5"/>
      <c r="L33" s="5"/>
      <c r="M33" s="5"/>
      <c r="N33" s="5"/>
    </row>
    <row r="34" spans="1:14" ht="18.600000000000001" x14ac:dyDescent="0.25">
      <c r="A34" s="11" t="s">
        <v>71</v>
      </c>
      <c r="B34" s="98" t="s">
        <v>116</v>
      </c>
      <c r="C34" s="98" t="s">
        <v>171</v>
      </c>
      <c r="D34" s="11" t="s">
        <v>171</v>
      </c>
      <c r="E34" s="2">
        <v>50000</v>
      </c>
      <c r="F34" s="2">
        <v>83800</v>
      </c>
      <c r="G34" s="2" t="e">
        <f>SUMIF(#REF!,invoice2[[#This Row],[شماره پیش فاکتور]],#REF!)</f>
        <v>#REF!</v>
      </c>
      <c r="H34" s="2" t="e">
        <f>invoice2[[#This Row],[میزان سفارش]]-invoice2[[#This Row],[حمل شده]]</f>
        <v>#REF!</v>
      </c>
      <c r="I34" s="2" t="s">
        <v>242</v>
      </c>
      <c r="J34" s="5"/>
      <c r="K34" s="5"/>
      <c r="L34" s="5"/>
      <c r="M34" s="5"/>
      <c r="N34" s="5"/>
    </row>
    <row r="35" spans="1:14" ht="18.600000000000001" x14ac:dyDescent="0.25">
      <c r="A35" s="11" t="s">
        <v>77</v>
      </c>
      <c r="B35" s="98" t="s">
        <v>116</v>
      </c>
      <c r="C35" s="98" t="s">
        <v>139</v>
      </c>
      <c r="D35" s="11" t="s">
        <v>222</v>
      </c>
      <c r="E35" s="2">
        <v>3941960</v>
      </c>
      <c r="F35" s="2">
        <v>68500</v>
      </c>
      <c r="G35" s="99" t="e">
        <f>SUMIF(#REF!,invoice2[[#This Row],[شماره پیش فاکتور]],#REF!)</f>
        <v>#REF!</v>
      </c>
      <c r="H35" s="2" t="e">
        <f>invoice2[[#This Row],[میزان سفارش]]-invoice2[[#This Row],[حمل شده]]</f>
        <v>#REF!</v>
      </c>
      <c r="I35" s="2" t="s">
        <v>243</v>
      </c>
      <c r="J35" s="5"/>
      <c r="K35" s="5"/>
      <c r="L35" s="5"/>
      <c r="M35" s="5"/>
      <c r="N35" s="5"/>
    </row>
    <row r="36" spans="1:14" ht="18.600000000000001" x14ac:dyDescent="0.25">
      <c r="A36" s="11" t="s">
        <v>78</v>
      </c>
      <c r="B36" s="98" t="s">
        <v>117</v>
      </c>
      <c r="C36" s="98" t="s">
        <v>133</v>
      </c>
      <c r="D36" s="11" t="s">
        <v>185</v>
      </c>
      <c r="E36" s="2">
        <v>180000</v>
      </c>
      <c r="F36" s="2">
        <v>100000</v>
      </c>
      <c r="G36" s="2" t="e">
        <f>SUMIF(#REF!,invoice2[[#This Row],[شماره پیش فاکتور]],#REF!)</f>
        <v>#REF!</v>
      </c>
      <c r="H36" s="2" t="e">
        <f>invoice2[[#This Row],[میزان سفارش]]-invoice2[[#This Row],[حمل شده]]</f>
        <v>#REF!</v>
      </c>
      <c r="I36" s="2" t="s">
        <v>241</v>
      </c>
      <c r="J36" s="5"/>
      <c r="K36" s="5"/>
      <c r="L36" s="5"/>
      <c r="M36" s="5"/>
      <c r="N36" s="5"/>
    </row>
    <row r="37" spans="1:14" ht="18.600000000000001" x14ac:dyDescent="0.25">
      <c r="A37" s="11" t="s">
        <v>79</v>
      </c>
      <c r="B37" s="98" t="s">
        <v>117</v>
      </c>
      <c r="C37" s="98" t="s">
        <v>177</v>
      </c>
      <c r="D37" s="11" t="s">
        <v>223</v>
      </c>
      <c r="E37" s="2">
        <v>320000</v>
      </c>
      <c r="F37" s="2">
        <v>75000</v>
      </c>
      <c r="G37" s="2" t="e">
        <f>SUMIF(#REF!,invoice2[[#This Row],[شماره پیش فاکتور]],#REF!)</f>
        <v>#REF!</v>
      </c>
      <c r="H37" s="2" t="e">
        <f>invoice2[[#This Row],[میزان سفارش]]-invoice2[[#This Row],[حمل شده]]</f>
        <v>#REF!</v>
      </c>
      <c r="I37" s="2" t="s">
        <v>243</v>
      </c>
      <c r="J37" s="5"/>
      <c r="K37" s="5"/>
      <c r="L37" s="5"/>
      <c r="M37" s="5"/>
      <c r="N37" s="5"/>
    </row>
    <row r="38" spans="1:14" ht="18.600000000000001" x14ac:dyDescent="0.25">
      <c r="A38" s="11" t="s">
        <v>84</v>
      </c>
      <c r="B38" s="98" t="s">
        <v>118</v>
      </c>
      <c r="C38" s="98" t="s">
        <v>139</v>
      </c>
      <c r="D38" s="11" t="s">
        <v>225</v>
      </c>
      <c r="E38" s="2">
        <v>6500000</v>
      </c>
      <c r="F38" s="2">
        <v>57273</v>
      </c>
      <c r="G38" s="100" t="e">
        <f>SUMIF(#REF!,invoice2[[#This Row],[شماره پیش فاکتور]],#REF!)</f>
        <v>#REF!</v>
      </c>
      <c r="H38" s="2" t="e">
        <f>invoice2[[#This Row],[میزان سفارش]]-invoice2[[#This Row],[حمل شده]]</f>
        <v>#REF!</v>
      </c>
      <c r="I38" s="2" t="s">
        <v>243</v>
      </c>
      <c r="J38" s="5"/>
      <c r="K38" s="5"/>
      <c r="L38" s="5"/>
      <c r="M38" s="5"/>
      <c r="N38" s="5"/>
    </row>
    <row r="39" spans="1:14" ht="18.600000000000001" x14ac:dyDescent="0.25">
      <c r="A39" s="11" t="s">
        <v>88</v>
      </c>
      <c r="B39" s="98" t="s">
        <v>120</v>
      </c>
      <c r="C39" s="98" t="s">
        <v>181</v>
      </c>
      <c r="D39" s="11" t="s">
        <v>229</v>
      </c>
      <c r="E39" s="2">
        <v>420000</v>
      </c>
      <c r="F39" s="2">
        <v>80000</v>
      </c>
      <c r="G39" s="2" t="e">
        <f>SUMIF(#REF!,invoice2[[#This Row],[شماره پیش فاکتور]],#REF!)</f>
        <v>#REF!</v>
      </c>
      <c r="H39" s="2" t="e">
        <f>invoice2[[#This Row],[میزان سفارش]]-invoice2[[#This Row],[حمل شده]]</f>
        <v>#REF!</v>
      </c>
      <c r="I39" s="2" t="s">
        <v>243</v>
      </c>
      <c r="J39" s="5"/>
      <c r="K39" s="5"/>
      <c r="L39" s="5"/>
      <c r="M39" s="5"/>
      <c r="N39" s="5"/>
    </row>
    <row r="40" spans="1:14" ht="18.600000000000001" x14ac:dyDescent="0.25">
      <c r="A40" s="11" t="s">
        <v>89</v>
      </c>
      <c r="B40" s="98" t="s">
        <v>121</v>
      </c>
      <c r="C40" s="98" t="s">
        <v>133</v>
      </c>
      <c r="D40" s="11" t="s">
        <v>185</v>
      </c>
      <c r="E40" s="2">
        <v>200000</v>
      </c>
      <c r="F40" s="2">
        <v>100000</v>
      </c>
      <c r="G40" s="2" t="e">
        <f>SUMIF(#REF!,invoice2[[#This Row],[شماره پیش فاکتور]],#REF!)</f>
        <v>#REF!</v>
      </c>
      <c r="H40" s="2" t="e">
        <f>invoice2[[#This Row],[میزان سفارش]]-invoice2[[#This Row],[حمل شده]]</f>
        <v>#REF!</v>
      </c>
      <c r="I40" s="2" t="s">
        <v>241</v>
      </c>
      <c r="J40" s="5"/>
      <c r="K40" s="5"/>
      <c r="L40" s="5"/>
      <c r="M40" s="5"/>
      <c r="N40" s="5"/>
    </row>
    <row r="41" spans="1:14" ht="18.600000000000001" x14ac:dyDescent="0.25">
      <c r="A41" s="11" t="s">
        <v>90</v>
      </c>
      <c r="B41" s="98" t="s">
        <v>122</v>
      </c>
      <c r="C41" s="98" t="s">
        <v>133</v>
      </c>
      <c r="D41" s="11" t="s">
        <v>185</v>
      </c>
      <c r="E41" s="2">
        <v>600000</v>
      </c>
      <c r="F41" s="2">
        <v>100000</v>
      </c>
      <c r="G41" s="2" t="e">
        <f>SUMIF(#REF!,invoice2[[#This Row],[شماره پیش فاکتور]],#REF!)</f>
        <v>#REF!</v>
      </c>
      <c r="H41" s="2" t="e">
        <f>invoice2[[#This Row],[میزان سفارش]]-invoice2[[#This Row],[حمل شده]]</f>
        <v>#REF!</v>
      </c>
      <c r="I41" s="2" t="s">
        <v>241</v>
      </c>
      <c r="J41" s="5"/>
      <c r="K41" s="5"/>
      <c r="L41" s="5"/>
      <c r="M41" s="5"/>
      <c r="N41" s="5"/>
    </row>
    <row r="42" spans="1:14" ht="18.600000000000001" x14ac:dyDescent="0.25">
      <c r="A42" s="11" t="s">
        <v>91</v>
      </c>
      <c r="B42" s="98" t="s">
        <v>122</v>
      </c>
      <c r="C42" s="98" t="s">
        <v>148</v>
      </c>
      <c r="D42" s="11" t="s">
        <v>230</v>
      </c>
      <c r="E42" s="2">
        <v>400000</v>
      </c>
      <c r="F42" s="2">
        <v>75000</v>
      </c>
      <c r="G42" s="2" t="e">
        <f>SUMIF(#REF!,invoice2[[#This Row],[شماره پیش فاکتور]],#REF!)</f>
        <v>#REF!</v>
      </c>
      <c r="H42" s="2" t="e">
        <f>invoice2[[#This Row],[میزان سفارش]]-invoice2[[#This Row],[حمل شده]]</f>
        <v>#REF!</v>
      </c>
      <c r="I42" s="2" t="s">
        <v>243</v>
      </c>
      <c r="J42" s="5"/>
      <c r="K42" s="5"/>
      <c r="L42" s="5"/>
      <c r="M42" s="5"/>
      <c r="N42" s="5"/>
    </row>
    <row r="43" spans="1:14" ht="18.600000000000001" x14ac:dyDescent="0.25">
      <c r="A43" s="11" t="s">
        <v>92</v>
      </c>
      <c r="B43" s="98" t="s">
        <v>256</v>
      </c>
      <c r="C43" s="98" t="s">
        <v>133</v>
      </c>
      <c r="D43" s="11" t="s">
        <v>185</v>
      </c>
      <c r="E43" s="2">
        <v>450000</v>
      </c>
      <c r="F43" s="2">
        <v>100000</v>
      </c>
      <c r="G43" s="2" t="e">
        <f>SUMIF(#REF!,invoice2[[#This Row],[شماره پیش فاکتور]],#REF!)</f>
        <v>#REF!</v>
      </c>
      <c r="H43" s="2" t="e">
        <f>invoice2[[#This Row],[میزان سفارش]]-invoice2[[#This Row],[حمل شده]]</f>
        <v>#REF!</v>
      </c>
      <c r="I43" s="2" t="s">
        <v>241</v>
      </c>
      <c r="J43" s="5"/>
      <c r="K43" s="5"/>
      <c r="L43" s="5"/>
      <c r="M43" s="5"/>
      <c r="N43" s="5"/>
    </row>
    <row r="44" spans="1:14" ht="18.600000000000001" x14ac:dyDescent="0.25">
      <c r="A44" s="11" t="s">
        <v>93</v>
      </c>
      <c r="B44" s="98" t="s">
        <v>256</v>
      </c>
      <c r="C44" s="98" t="s">
        <v>182</v>
      </c>
      <c r="D44" s="11" t="s">
        <v>220</v>
      </c>
      <c r="E44" s="2">
        <v>120000</v>
      </c>
      <c r="F44" s="2">
        <v>75000</v>
      </c>
      <c r="G44" s="2" t="e">
        <f>SUMIF(#REF!,invoice2[[#This Row],[شماره پیش فاکتور]],#REF!)</f>
        <v>#REF!</v>
      </c>
      <c r="H44" s="2" t="e">
        <f>invoice2[[#This Row],[میزان سفارش]]-invoice2[[#This Row],[حمل شده]]</f>
        <v>#REF!</v>
      </c>
      <c r="I44" s="2" t="s">
        <v>243</v>
      </c>
      <c r="J44" s="5"/>
      <c r="K44" s="5"/>
      <c r="L44" s="5"/>
      <c r="M44" s="5"/>
      <c r="N44" s="5"/>
    </row>
    <row r="45" spans="1:14" ht="18.600000000000001" x14ac:dyDescent="0.25">
      <c r="A45" s="11" t="s">
        <v>96</v>
      </c>
      <c r="B45" s="98" t="s">
        <v>125</v>
      </c>
      <c r="C45" s="98" t="s">
        <v>133</v>
      </c>
      <c r="D45" s="11" t="s">
        <v>185</v>
      </c>
      <c r="E45" s="2">
        <v>300000</v>
      </c>
      <c r="F45" s="2">
        <v>100000</v>
      </c>
      <c r="G45" s="2" t="e">
        <f>SUMIF(#REF!,invoice2[[#This Row],[شماره پیش فاکتور]],#REF!)</f>
        <v>#REF!</v>
      </c>
      <c r="H45" s="2" t="e">
        <f>invoice2[[#This Row],[میزان سفارش]]-invoice2[[#This Row],[حمل شده]]</f>
        <v>#REF!</v>
      </c>
      <c r="I45" s="2" t="s">
        <v>241</v>
      </c>
      <c r="J45" s="5"/>
      <c r="K45" s="5"/>
      <c r="L45" s="5"/>
      <c r="M45" s="5"/>
      <c r="N45" s="5"/>
    </row>
  </sheetData>
  <phoneticPr fontId="3" type="noConversion"/>
  <printOptions verticalCentered="1"/>
  <pageMargins left="0.2" right="0.2" top="0.25" bottom="0.25" header="0" footer="0"/>
  <pageSetup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FD22F-D600-4183-A5DC-DE03AD32FB06}">
  <sheetPr codeName="Sheet5"/>
  <dimension ref="A1:ET129"/>
  <sheetViews>
    <sheetView rightToLeft="1" topLeftCell="X1" workbookViewId="0">
      <selection activeCell="AF7" sqref="AF7"/>
    </sheetView>
  </sheetViews>
  <sheetFormatPr defaultColWidth="8.8984375" defaultRowHeight="18.600000000000001" x14ac:dyDescent="0.6"/>
  <cols>
    <col min="1" max="1" width="17.3984375" style="163" bestFit="1" customWidth="1"/>
    <col min="2" max="7" width="8.8984375" style="159"/>
    <col min="8" max="8" width="11.09765625" style="159" customWidth="1"/>
    <col min="9" max="9" width="10.69921875" style="159" customWidth="1"/>
    <col min="10" max="10" width="16.3984375" style="159" customWidth="1"/>
    <col min="11" max="11" width="9.09765625" style="159" bestFit="1" customWidth="1"/>
    <col min="12" max="12" width="11.796875" style="159" bestFit="1" customWidth="1"/>
    <col min="13" max="14" width="9.3984375" style="159" bestFit="1" customWidth="1"/>
    <col min="15" max="15" width="12.69921875" style="159" bestFit="1" customWidth="1"/>
    <col min="16" max="16" width="7.8984375" style="159" bestFit="1" customWidth="1"/>
    <col min="17" max="17" width="10.69921875" style="159" bestFit="1" customWidth="1"/>
    <col min="18" max="18" width="10.796875" style="159" bestFit="1" customWidth="1"/>
    <col min="19" max="19" width="10.19921875" style="159" bestFit="1" customWidth="1"/>
    <col min="20" max="20" width="10.09765625" style="159" bestFit="1" customWidth="1"/>
    <col min="21" max="25" width="8.8984375" style="159"/>
    <col min="26" max="26" width="19.5" style="159" bestFit="1" customWidth="1"/>
    <col min="27" max="27" width="16.69921875" style="159" bestFit="1" customWidth="1"/>
    <col min="28" max="28" width="12.69921875" style="159" bestFit="1" customWidth="1"/>
    <col min="29" max="29" width="9.3984375" style="159" bestFit="1" customWidth="1"/>
    <col min="30" max="30" width="23" style="159" bestFit="1" customWidth="1"/>
    <col min="31" max="31" width="25.69921875" style="159" bestFit="1" customWidth="1"/>
    <col min="32" max="32" width="9.796875" style="159" bestFit="1" customWidth="1"/>
    <col min="33" max="33" width="16.69921875" style="159" bestFit="1" customWidth="1"/>
    <col min="34" max="34" width="8.296875" style="159" bestFit="1" customWidth="1"/>
    <col min="35" max="35" width="11.796875" style="159" bestFit="1" customWidth="1"/>
    <col min="36" max="36" width="9.3984375" style="159" bestFit="1" customWidth="1"/>
    <col min="37" max="37" width="11.19921875" style="159" customWidth="1"/>
    <col min="38" max="38" width="9.796875" style="159" customWidth="1"/>
    <col min="39" max="39" width="13.09765625" style="159" bestFit="1" customWidth="1"/>
    <col min="40" max="40" width="29.3984375" style="159" bestFit="1" customWidth="1"/>
    <col min="41" max="41" width="9.3984375" style="159" bestFit="1" customWidth="1"/>
    <col min="42" max="42" width="12.69921875" style="159" bestFit="1" customWidth="1"/>
    <col min="43" max="43" width="7.8984375" style="159" bestFit="1" customWidth="1"/>
    <col min="44" max="44" width="11.796875" style="159" bestFit="1" customWidth="1"/>
    <col min="45" max="45" width="9.3984375" style="159" bestFit="1" customWidth="1"/>
    <col min="46" max="46" width="11.8984375" style="159" bestFit="1" customWidth="1"/>
    <col min="47" max="48" width="11.19921875" style="159" customWidth="1"/>
    <col min="49" max="49" width="32.69921875" style="159" bestFit="1" customWidth="1"/>
    <col min="50" max="52" width="11.19921875" style="159" customWidth="1"/>
    <col min="53" max="53" width="6" style="159" customWidth="1"/>
    <col min="54" max="54" width="32.69921875" style="159" bestFit="1" customWidth="1"/>
    <col min="55" max="55" width="10.296875" style="159" bestFit="1" customWidth="1"/>
    <col min="56" max="56" width="13.8984375" style="159" bestFit="1" customWidth="1"/>
    <col min="57" max="57" width="8.3984375" style="159" bestFit="1" customWidth="1"/>
    <col min="58" max="59" width="6" style="159" customWidth="1"/>
    <col min="60" max="61" width="7" style="159" bestFit="1" customWidth="1"/>
    <col min="62" max="62" width="14.296875" style="159" bestFit="1" customWidth="1"/>
    <col min="63" max="63" width="18.69921875" style="159" bestFit="1" customWidth="1"/>
    <col min="64" max="64" width="9.3984375" style="159" bestFit="1" customWidth="1"/>
    <col min="65" max="66" width="9.8984375" style="159" bestFit="1" customWidth="1"/>
    <col min="67" max="67" width="14.296875" style="159" bestFit="1" customWidth="1"/>
    <col min="68" max="68" width="15.296875" style="159" bestFit="1" customWidth="1"/>
    <col min="69" max="69" width="11.796875" style="159" bestFit="1" customWidth="1"/>
    <col min="70" max="72" width="7" style="159" bestFit="1" customWidth="1"/>
    <col min="73" max="73" width="13.09765625" style="159" customWidth="1"/>
    <col min="74" max="74" width="14.69921875" style="159" customWidth="1"/>
    <col min="75" max="78" width="12" style="159" customWidth="1"/>
    <col min="79" max="79" width="17.59765625" style="159" customWidth="1"/>
    <col min="80" max="80" width="7" style="159" bestFit="1" customWidth="1"/>
    <col min="81" max="81" width="14.296875" style="159" bestFit="1" customWidth="1"/>
    <col min="82" max="82" width="15.3984375" style="159" bestFit="1" customWidth="1"/>
    <col min="83" max="83" width="12.09765625" style="159" bestFit="1" customWidth="1"/>
    <col min="84" max="84" width="20.3984375" style="159" bestFit="1" customWidth="1"/>
    <col min="85" max="85" width="10.796875" style="159" bestFit="1" customWidth="1"/>
    <col min="86" max="87" width="8.8984375" style="159"/>
    <col min="88" max="88" width="14.296875" style="159" bestFit="1" customWidth="1"/>
    <col min="89" max="89" width="16.69921875" style="159" bestFit="1" customWidth="1"/>
    <col min="90" max="90" width="10.796875" style="159" bestFit="1" customWidth="1"/>
    <col min="91" max="91" width="18.8984375" style="159" bestFit="1" customWidth="1"/>
    <col min="92" max="92" width="11.8984375" style="159" bestFit="1" customWidth="1"/>
    <col min="93" max="93" width="9.09765625" style="159" bestFit="1" customWidth="1"/>
    <col min="94" max="98" width="8.8984375" style="159"/>
    <col min="99" max="99" width="16.59765625" style="159" bestFit="1" customWidth="1"/>
    <col min="100" max="100" width="14.3984375" style="159" bestFit="1" customWidth="1"/>
    <col min="101" max="104" width="8.8984375" style="159"/>
    <col min="105" max="105" width="25.69921875" style="159" bestFit="1" customWidth="1"/>
    <col min="106" max="106" width="17.19921875" style="159" bestFit="1" customWidth="1"/>
    <col min="107" max="111" width="8.8984375" style="159"/>
    <col min="112" max="112" width="10.3984375" style="159" bestFit="1" customWidth="1"/>
    <col min="113" max="113" width="13.59765625" style="159" customWidth="1"/>
    <col min="114" max="114" width="12.8984375" style="159" bestFit="1" customWidth="1"/>
    <col min="115" max="122" width="8.8984375" style="159"/>
    <col min="123" max="123" width="8.8984375" style="159" customWidth="1"/>
    <col min="124" max="124" width="9.8984375" style="159" bestFit="1" customWidth="1"/>
    <col min="125" max="125" width="8.8984375" style="159"/>
    <col min="126" max="126" width="10.296875" style="159" bestFit="1" customWidth="1"/>
    <col min="127" max="127" width="9.296875" style="159" bestFit="1" customWidth="1"/>
    <col min="128" max="128" width="9" style="159" customWidth="1"/>
    <col min="129" max="129" width="1.59765625" style="159" customWidth="1"/>
    <col min="130" max="133" width="13.296875" style="159" bestFit="1" customWidth="1"/>
    <col min="134" max="134" width="9.69921875" style="159" bestFit="1" customWidth="1"/>
    <col min="135" max="136" width="13.296875" style="159" bestFit="1" customWidth="1"/>
    <col min="137" max="140" width="8.8984375" style="159"/>
    <col min="141" max="141" width="11.8984375" style="159" bestFit="1" customWidth="1"/>
    <col min="142" max="142" width="16.796875" style="159" bestFit="1" customWidth="1"/>
    <col min="143" max="143" width="11.19921875" style="159" bestFit="1" customWidth="1"/>
    <col min="144" max="144" width="11.296875" style="159" bestFit="1" customWidth="1"/>
    <col min="145" max="145" width="11.296875" style="159" customWidth="1"/>
    <col min="146" max="146" width="13.09765625" style="159" bestFit="1" customWidth="1"/>
    <col min="147" max="148" width="13.296875" style="159" bestFit="1" customWidth="1"/>
    <col min="149" max="149" width="8.8984375" style="159"/>
    <col min="150" max="150" width="9.8984375" style="159" bestFit="1" customWidth="1"/>
    <col min="151" max="16384" width="8.8984375" style="159"/>
  </cols>
  <sheetData>
    <row r="1" spans="1:150" x14ac:dyDescent="0.6">
      <c r="A1" s="103" t="s">
        <v>281</v>
      </c>
      <c r="B1" s="103"/>
      <c r="E1" s="103" t="s">
        <v>283</v>
      </c>
      <c r="F1" s="103"/>
      <c r="G1" s="103"/>
      <c r="H1" s="103"/>
      <c r="I1" s="103"/>
      <c r="J1" s="103"/>
      <c r="K1" s="103"/>
      <c r="L1" s="103"/>
      <c r="M1" s="103"/>
      <c r="N1" s="103"/>
      <c r="O1" s="103"/>
      <c r="P1" s="103"/>
      <c r="Q1" s="103"/>
      <c r="R1" s="103"/>
      <c r="S1" s="103"/>
      <c r="T1" s="103"/>
      <c r="U1" s="103"/>
      <c r="V1" s="103"/>
      <c r="W1" s="103"/>
      <c r="X1" s="103"/>
      <c r="Z1" s="103" t="s">
        <v>291</v>
      </c>
      <c r="AA1" s="103"/>
      <c r="AB1" s="103"/>
      <c r="AC1" s="103"/>
      <c r="AD1" s="103"/>
      <c r="AE1" s="103"/>
      <c r="AF1" s="103"/>
      <c r="AG1" s="103"/>
      <c r="AH1" s="103"/>
      <c r="AI1" s="103"/>
      <c r="AJ1" s="103"/>
      <c r="AK1" s="103"/>
      <c r="AL1" s="103"/>
      <c r="AN1" s="103" t="s">
        <v>293</v>
      </c>
      <c r="AO1" s="103"/>
      <c r="AP1" s="103"/>
      <c r="AQ1" s="103"/>
      <c r="AR1" s="103"/>
      <c r="AS1" s="103"/>
      <c r="AT1" s="103"/>
      <c r="AU1" s="103"/>
      <c r="AV1" s="103"/>
      <c r="AW1" s="103"/>
      <c r="AX1" s="103"/>
      <c r="AY1" s="103"/>
      <c r="AZ1" s="103"/>
      <c r="BJ1" s="103" t="s">
        <v>310</v>
      </c>
      <c r="BK1" s="103"/>
      <c r="BL1" s="103"/>
      <c r="BM1" s="103"/>
      <c r="BN1" s="103"/>
      <c r="BO1" s="103"/>
      <c r="BP1" s="103"/>
      <c r="BQ1" s="103"/>
      <c r="BR1" s="103"/>
      <c r="CC1" s="103" t="s">
        <v>320</v>
      </c>
      <c r="CD1" s="103"/>
      <c r="CE1" s="103"/>
      <c r="CF1" s="103"/>
      <c r="CJ1" s="103" t="s">
        <v>326</v>
      </c>
      <c r="CK1" s="103"/>
      <c r="CL1" s="103"/>
      <c r="CM1" s="103"/>
      <c r="CT1" s="103" t="s">
        <v>509</v>
      </c>
    </row>
    <row r="2" spans="1:150" x14ac:dyDescent="0.6">
      <c r="A2" s="103"/>
      <c r="B2" s="103"/>
      <c r="E2" s="103"/>
      <c r="F2" s="103"/>
      <c r="G2" s="103"/>
      <c r="H2" s="103"/>
      <c r="I2" s="103"/>
      <c r="J2" s="103"/>
      <c r="K2" s="103"/>
      <c r="L2" s="103"/>
      <c r="M2" s="103"/>
      <c r="N2" s="103"/>
      <c r="O2" s="103"/>
      <c r="P2" s="103"/>
      <c r="Q2" s="103"/>
      <c r="R2" s="103"/>
      <c r="S2" s="103"/>
      <c r="T2" s="103"/>
      <c r="U2" s="103"/>
      <c r="V2" s="103"/>
      <c r="W2" s="103"/>
      <c r="X2" s="103"/>
      <c r="Z2" s="160" t="s">
        <v>645</v>
      </c>
      <c r="AA2" s="161" t="s" vm="6">
        <v>644</v>
      </c>
      <c r="AB2" s="103"/>
      <c r="AC2" s="103"/>
      <c r="AD2" s="103"/>
      <c r="AE2" s="103"/>
      <c r="AF2" s="103"/>
      <c r="AG2" s="103"/>
      <c r="AH2" s="103"/>
      <c r="AI2" s="103"/>
      <c r="AJ2" s="103"/>
      <c r="AK2" s="103"/>
      <c r="AL2" s="103"/>
      <c r="AN2" s="103"/>
      <c r="AO2" s="103"/>
      <c r="AP2" s="103"/>
      <c r="AQ2" s="103"/>
      <c r="AR2" s="103"/>
      <c r="AS2" s="103"/>
      <c r="AT2" s="103"/>
      <c r="AU2" s="103"/>
      <c r="AV2" s="103"/>
      <c r="AW2" s="103"/>
      <c r="AX2" s="103"/>
      <c r="AY2" s="103"/>
      <c r="AZ2" s="103"/>
      <c r="BJ2" s="103"/>
      <c r="BK2" s="103"/>
      <c r="BL2" s="103"/>
      <c r="BM2" s="103"/>
      <c r="BN2" s="103"/>
      <c r="BO2" s="103"/>
      <c r="BP2" s="103"/>
      <c r="BQ2" s="103"/>
      <c r="BR2" s="103"/>
      <c r="CC2" s="103"/>
      <c r="CD2" s="103"/>
      <c r="CE2" s="103"/>
      <c r="CF2" s="103"/>
      <c r="CJ2" s="103"/>
      <c r="CK2" s="103"/>
      <c r="CL2" s="103"/>
      <c r="CM2" s="103"/>
      <c r="CT2" s="103"/>
    </row>
    <row r="3" spans="1:150" s="104" customFormat="1" x14ac:dyDescent="0.6">
      <c r="Z3" s="160" t="s">
        <v>0</v>
      </c>
      <c r="AA3" s="161" t="s" vm="7">
        <v>116</v>
      </c>
      <c r="AF3" s="160" t="s">
        <v>0</v>
      </c>
      <c r="AG3" s="161" t="s" vm="7">
        <v>116</v>
      </c>
      <c r="AN3" s="120"/>
      <c r="AO3" s="120"/>
      <c r="AP3" s="120"/>
      <c r="AQ3" s="120"/>
      <c r="AR3" s="120"/>
      <c r="AS3" s="120"/>
      <c r="AT3" s="120"/>
      <c r="AU3" s="120"/>
      <c r="AV3" s="120"/>
      <c r="AW3" s="120"/>
      <c r="AX3" s="120"/>
      <c r="AY3" s="120"/>
      <c r="AZ3" s="120"/>
      <c r="BA3" s="120"/>
      <c r="BB3" s="120"/>
      <c r="BC3" s="120"/>
      <c r="BD3" s="120"/>
      <c r="BE3" s="120"/>
      <c r="BF3" s="120"/>
      <c r="BG3" s="120"/>
      <c r="BK3" s="120"/>
      <c r="BL3" s="120"/>
      <c r="BM3" s="120"/>
      <c r="BN3" s="120"/>
      <c r="BO3" s="120"/>
      <c r="BP3" s="120"/>
      <c r="BQ3" s="120"/>
      <c r="BR3" s="120"/>
      <c r="BS3" s="120"/>
      <c r="BT3" s="120"/>
      <c r="BU3" s="120"/>
      <c r="BV3" s="120"/>
      <c r="BW3" s="120"/>
      <c r="BX3" s="120"/>
      <c r="BY3" s="120"/>
      <c r="BZ3" s="120"/>
      <c r="CA3" s="120"/>
      <c r="CB3" s="120"/>
      <c r="DH3" s="104" t="s">
        <v>643</v>
      </c>
      <c r="DP3" s="104" t="s">
        <v>674</v>
      </c>
    </row>
    <row r="4" spans="1:150" s="104" customFormat="1" ht="19.2" thickBot="1" x14ac:dyDescent="0.65">
      <c r="K4" s="159"/>
      <c r="L4" s="159"/>
      <c r="Z4" s="160" t="s">
        <v>288</v>
      </c>
      <c r="AA4" s="161" t="s" vm="2">
        <v>327</v>
      </c>
      <c r="AF4" s="160" t="s">
        <v>288</v>
      </c>
      <c r="AG4" s="161" t="s" vm="2">
        <v>327</v>
      </c>
      <c r="AN4" s="160" t="s">
        <v>237</v>
      </c>
      <c r="AO4" s="161" t="s" vm="3">
        <v>502</v>
      </c>
      <c r="AP4" s="120"/>
      <c r="AQ4" s="120"/>
      <c r="AR4" s="120"/>
      <c r="AS4" s="120"/>
      <c r="AT4" s="120"/>
      <c r="AU4" s="120"/>
      <c r="AV4" s="120"/>
      <c r="AW4" s="120"/>
      <c r="AX4" s="120"/>
      <c r="AY4" s="120"/>
      <c r="AZ4" s="120"/>
      <c r="BA4" s="120"/>
      <c r="BB4" s="120" t="s">
        <v>503</v>
      </c>
      <c r="BC4" s="162">
        <v>1</v>
      </c>
      <c r="BD4" s="120"/>
      <c r="BE4" s="120"/>
      <c r="BF4" s="120"/>
      <c r="BG4" s="120"/>
      <c r="BK4" s="120"/>
      <c r="BL4" s="120"/>
      <c r="BM4" s="120"/>
      <c r="BN4" s="120"/>
      <c r="BO4" s="120"/>
      <c r="BP4" s="120"/>
      <c r="BQ4" s="120"/>
      <c r="BR4" s="120"/>
      <c r="BS4" s="120"/>
      <c r="BT4" s="120"/>
      <c r="BU4" s="120"/>
      <c r="BV4" s="120"/>
      <c r="BW4" s="120"/>
      <c r="BX4" s="120"/>
      <c r="BY4" s="120"/>
      <c r="BZ4" s="120"/>
      <c r="CA4" s="120"/>
      <c r="CB4" s="120"/>
      <c r="DT4" s="104" t="s">
        <v>684</v>
      </c>
      <c r="DU4" s="104" t="s">
        <v>685</v>
      </c>
      <c r="EA4" s="104" t="s">
        <v>684</v>
      </c>
      <c r="EB4" s="104" t="s">
        <v>685</v>
      </c>
      <c r="EJ4" s="104" t="s">
        <v>707</v>
      </c>
    </row>
    <row r="5" spans="1:150" ht="19.2" thickBot="1" x14ac:dyDescent="0.65">
      <c r="E5" s="159" t="s">
        <v>284</v>
      </c>
      <c r="M5" s="104"/>
      <c r="N5" s="104"/>
      <c r="AW5" s="159" t="s">
        <v>635</v>
      </c>
      <c r="AX5" s="159">
        <f>year</f>
        <v>1404</v>
      </c>
      <c r="BJ5" s="160" t="s">
        <v>237</v>
      </c>
      <c r="BK5" s="161" t="s" vm="3">
        <v>502</v>
      </c>
      <c r="BL5" s="104"/>
      <c r="BM5" s="104"/>
      <c r="BN5" s="104"/>
      <c r="BO5" s="160" t="s">
        <v>237</v>
      </c>
      <c r="BP5" s="161" t="s" vm="3">
        <v>502</v>
      </c>
      <c r="BU5" s="159" t="s">
        <v>237</v>
      </c>
      <c r="BV5" s="162">
        <f>INDEX(years,BV23)</f>
        <v>1404</v>
      </c>
      <c r="CC5" s="160" t="s">
        <v>0</v>
      </c>
      <c r="CD5" s="161" t="s" vm="4">
        <v>250</v>
      </c>
      <c r="CJ5" s="160" t="s">
        <v>0</v>
      </c>
      <c r="CK5" s="161" t="s" vm="7">
        <v>116</v>
      </c>
      <c r="CN5" s="164" t="s">
        <v>603</v>
      </c>
      <c r="CO5" s="165">
        <f>SUM(CO9:CO131)</f>
        <v>1719035</v>
      </c>
      <c r="DH5" s="159" t="s">
        <v>503</v>
      </c>
      <c r="DI5" s="159">
        <v>12</v>
      </c>
      <c r="DP5" s="159" t="s">
        <v>237</v>
      </c>
      <c r="DQ5" s="159">
        <f>year</f>
        <v>1404</v>
      </c>
      <c r="DR5" s="159" t="s">
        <v>675</v>
      </c>
      <c r="DS5" s="159">
        <f>DQ5-1</f>
        <v>1403</v>
      </c>
      <c r="DT5" s="159">
        <v>0</v>
      </c>
      <c r="DV5" s="248" t="s">
        <v>686</v>
      </c>
      <c r="DW5" s="248"/>
      <c r="DX5" s="248"/>
      <c r="EB5" s="159">
        <v>1</v>
      </c>
      <c r="EE5" s="248" t="s">
        <v>686</v>
      </c>
      <c r="EF5" s="248"/>
      <c r="EG5" s="248"/>
      <c r="EJ5" s="159" t="s">
        <v>237</v>
      </c>
      <c r="EK5" s="159">
        <f>year</f>
        <v>1404</v>
      </c>
      <c r="EN5" s="227">
        <f>_xlfn.STDEV.S(EK7:EK18)</f>
        <v>381331.40248345665</v>
      </c>
      <c r="EO5" s="227"/>
      <c r="EQ5" s="159">
        <f>_xlfn.STDEV.S(EL7:EL18)</f>
        <v>38852752779.982513</v>
      </c>
    </row>
    <row r="6" spans="1:150" x14ac:dyDescent="0.6">
      <c r="A6" s="101"/>
      <c r="F6" s="159" t="s">
        <v>1</v>
      </c>
      <c r="G6" s="159" t="s">
        <v>238</v>
      </c>
      <c r="H6" s="159" t="s">
        <v>285</v>
      </c>
      <c r="I6" s="159" t="s">
        <v>286</v>
      </c>
      <c r="Z6" s="160" t="s">
        <v>127</v>
      </c>
      <c r="AA6" s="159" t="s">
        <v>282</v>
      </c>
      <c r="AB6" s="159" t="s">
        <v>235</v>
      </c>
      <c r="AC6" s="159" t="s">
        <v>1</v>
      </c>
      <c r="AD6" s="159" t="s">
        <v>633</v>
      </c>
      <c r="AE6"/>
      <c r="AF6" s="159" t="s">
        <v>319</v>
      </c>
      <c r="AG6" s="159" t="s">
        <v>235</v>
      </c>
      <c r="AH6" s="159" t="s">
        <v>318</v>
      </c>
      <c r="AI6" s="159" t="s">
        <v>289</v>
      </c>
      <c r="AJ6" s="159" t="s">
        <v>290</v>
      </c>
      <c r="AK6" s="155" t="s">
        <v>292</v>
      </c>
      <c r="AL6" s="155" t="s">
        <v>286</v>
      </c>
      <c r="AN6" s="160" t="s">
        <v>0</v>
      </c>
      <c r="AO6" s="159" t="s">
        <v>1</v>
      </c>
      <c r="AP6" s="166" t="s">
        <v>235</v>
      </c>
      <c r="AQ6" s="159" t="s">
        <v>282</v>
      </c>
      <c r="AR6" s="159" t="s">
        <v>289</v>
      </c>
      <c r="AS6" s="159" t="s">
        <v>290</v>
      </c>
      <c r="AT6" s="159" t="s">
        <v>294</v>
      </c>
      <c r="AU6" s="159" t="s">
        <v>286</v>
      </c>
      <c r="AW6" s="159" t="s">
        <v>0</v>
      </c>
      <c r="AX6" s="159" t="s">
        <v>634</v>
      </c>
      <c r="BA6" s="167" t="s">
        <v>258</v>
      </c>
      <c r="BB6" s="167" t="s">
        <v>0</v>
      </c>
      <c r="BC6" s="156" t="s">
        <v>1</v>
      </c>
      <c r="BD6" s="156" t="s">
        <v>235</v>
      </c>
      <c r="BE6" s="167" t="s">
        <v>286</v>
      </c>
      <c r="BX6" s="162" t="b">
        <v>0</v>
      </c>
      <c r="BY6" s="162" t="b">
        <v>0</v>
      </c>
      <c r="BZ6" s="162"/>
      <c r="CA6" s="162"/>
      <c r="CC6" s="160" t="s">
        <v>321</v>
      </c>
      <c r="CD6" s="161" t="s" vm="1">
        <v>242</v>
      </c>
      <c r="CE6" s="104"/>
      <c r="CF6" s="104"/>
      <c r="CJ6" s="160" t="s">
        <v>288</v>
      </c>
      <c r="CK6" s="161" t="s" vm="2">
        <v>327</v>
      </c>
      <c r="CL6" s="104"/>
      <c r="CT6" s="168" t="s">
        <v>236</v>
      </c>
      <c r="CU6" s="168" t="s">
        <v>511</v>
      </c>
      <c r="CV6" s="168" t="s">
        <v>512</v>
      </c>
      <c r="DA6" s="168" t="s">
        <v>593</v>
      </c>
      <c r="DB6" s="168">
        <f>year</f>
        <v>1404</v>
      </c>
      <c r="DP6" s="168" t="s">
        <v>236</v>
      </c>
      <c r="DQ6" s="159" t="s">
        <v>676</v>
      </c>
      <c r="DR6" s="159" t="s">
        <v>677</v>
      </c>
      <c r="DS6" s="159" t="s">
        <v>678</v>
      </c>
      <c r="DT6" s="159" t="s">
        <v>677</v>
      </c>
      <c r="DU6" s="159" t="s">
        <v>682</v>
      </c>
      <c r="DV6" s="159">
        <f>DQ5</f>
        <v>1404</v>
      </c>
      <c r="DW6" s="159">
        <f>DS5</f>
        <v>1403</v>
      </c>
      <c r="DX6" s="159" t="s">
        <v>682</v>
      </c>
      <c r="DY6" s="223"/>
      <c r="DZ6" s="159" t="s">
        <v>679</v>
      </c>
      <c r="EA6" s="159" t="s">
        <v>680</v>
      </c>
      <c r="EB6" s="159" t="s">
        <v>681</v>
      </c>
      <c r="EC6" s="159" t="s">
        <v>680</v>
      </c>
      <c r="ED6" s="159" t="s">
        <v>683</v>
      </c>
      <c r="EE6" s="159">
        <f>DQ5</f>
        <v>1404</v>
      </c>
      <c r="EF6" s="159">
        <f>DS5</f>
        <v>1403</v>
      </c>
      <c r="EG6" s="159" t="s">
        <v>687</v>
      </c>
      <c r="EJ6" s="168" t="s">
        <v>236</v>
      </c>
      <c r="EK6" s="159" t="s">
        <v>708</v>
      </c>
      <c r="EL6" s="159" t="s">
        <v>709</v>
      </c>
      <c r="EM6" s="159" t="s">
        <v>710</v>
      </c>
      <c r="EN6" s="159" t="s">
        <v>712</v>
      </c>
      <c r="EO6" s="159" t="s">
        <v>713</v>
      </c>
      <c r="EP6" s="159" t="s">
        <v>711</v>
      </c>
      <c r="EQ6" s="159" t="s">
        <v>714</v>
      </c>
      <c r="ER6" s="159" t="s">
        <v>715</v>
      </c>
    </row>
    <row r="7" spans="1:150" x14ac:dyDescent="0.6">
      <c r="A7" s="102" t="s">
        <v>250</v>
      </c>
      <c r="E7" s="2" t="s">
        <v>240</v>
      </c>
      <c r="F7" s="159">
        <f>SUMIF(invoice2[[نوع ]],calc!E7,invoice2[میزان سفارش])</f>
        <v>307700</v>
      </c>
      <c r="G7" s="159" t="e">
        <f>SUMIF(invoice2[[نوع ]],calc!E7,invoice2[مانده])</f>
        <v>#REF!</v>
      </c>
      <c r="H7" s="159" t="e">
        <f>SUMIF(invoice2[[نوع ]],calc!E7,invoice2[حمل شده])</f>
        <v>#REF!</v>
      </c>
      <c r="I7" s="169" t="e">
        <f>G7/F7</f>
        <v>#REF!</v>
      </c>
      <c r="K7" s="159" t="s">
        <v>516</v>
      </c>
      <c r="L7" s="159" t="s">
        <v>289</v>
      </c>
      <c r="M7" s="159" t="s">
        <v>290</v>
      </c>
      <c r="N7" s="159" t="s">
        <v>1</v>
      </c>
      <c r="O7" s="159" t="s">
        <v>235</v>
      </c>
      <c r="P7" s="159" t="s">
        <v>282</v>
      </c>
      <c r="Q7" s="159" t="s">
        <v>309</v>
      </c>
      <c r="R7" s="159" t="s">
        <v>308</v>
      </c>
      <c r="S7" s="159" t="s">
        <v>314</v>
      </c>
      <c r="T7" s="159" t="s">
        <v>315</v>
      </c>
      <c r="U7" s="155" t="s">
        <v>306</v>
      </c>
      <c r="Z7" s="161" t="s">
        <v>629</v>
      </c>
      <c r="AA7" s="319"/>
      <c r="AB7" s="241"/>
      <c r="AC7" s="319">
        <v>50000</v>
      </c>
      <c r="AD7" s="319">
        <v>0</v>
      </c>
      <c r="AE7"/>
      <c r="AF7" s="170">
        <v>6029400</v>
      </c>
      <c r="AG7" s="170">
        <v>4310590</v>
      </c>
      <c r="AH7" s="171">
        <v>80991.867469879522</v>
      </c>
      <c r="AI7" s="319">
        <v>22</v>
      </c>
      <c r="AJ7" s="319">
        <v>249</v>
      </c>
      <c r="AK7" s="172">
        <f>AG7/AF7</f>
        <v>0.71492851693369153</v>
      </c>
      <c r="AL7" s="173">
        <f>1-AK7</f>
        <v>0.28507148306630847</v>
      </c>
      <c r="AM7" s="169"/>
      <c r="AN7" s="174" t="s">
        <v>118</v>
      </c>
      <c r="AO7" s="175">
        <v>8298580</v>
      </c>
      <c r="AP7" s="175">
        <v>4107220</v>
      </c>
      <c r="AQ7" s="175">
        <v>57100.757575757576</v>
      </c>
      <c r="AR7" s="322">
        <v>2</v>
      </c>
      <c r="AS7" s="322">
        <v>198</v>
      </c>
      <c r="AT7" s="219">
        <v>0.21673801171071908</v>
      </c>
      <c r="AU7" s="176">
        <f>1-(AP7/AO7)</f>
        <v>0.505069542018032</v>
      </c>
      <c r="AV7" s="177"/>
      <c r="AW7" s="177" t="s">
        <v>118</v>
      </c>
      <c r="AX7" s="221">
        <f>IFERROR(SUMIFS(invoice[میزان سفارش],invoice[سال],calc!$AX$5,invoice[نام مشتری],calc!AW7)+IFERROR(SUMIFS(invoice[میزان سفارش],invoice[سال],(calc!$AX$5)-1,invoice[نام مشتری],calc!AW7),0)-SUMIFS(bargiri[میزان بارگیری شده],bargiri[نام مشتری],calc!AW7,bargiri[سال],(calc!$AX$5)-1),"")</f>
        <v>4191360</v>
      </c>
      <c r="AZ7" s="177"/>
      <c r="BA7" s="168">
        <v>1</v>
      </c>
      <c r="BB7" s="168" t="str">
        <f>INDEX($AW$7:$AW$101,$BC$4+ROW(A1)-1)</f>
        <v>عراق اربیل</v>
      </c>
      <c r="BC7" s="178">
        <f>SUMIFS(invoice[میزان سفارش],invoice[سال],calc!$AX$5,invoice[نام مشتری],calc!BB7)+IFERROR(SUMIFS(invoice[میزان سفارش],invoice[سال],(calc!$AX$5)-1,invoice[نام مشتری],calc!BB7),0)-SUMIFS(bargiri[میزان بارگیری شده],bargiri[نام مشتری],calc!BB7,bargiri[سال],(calc!$AX$5)-1)</f>
        <v>4191360</v>
      </c>
      <c r="BD7" s="178">
        <f>SUMIFS(bargiri[میزان بارگیری شده],bargiri[نام مشتری],calc!BB7,bargiri[سال],(calc!$AX$5))</f>
        <v>2250855</v>
      </c>
      <c r="BE7" s="176">
        <f>BD7/BC7</f>
        <v>0.53702258932661473</v>
      </c>
      <c r="BJ7" s="160" t="s">
        <v>127</v>
      </c>
      <c r="BK7" s="159" t="s">
        <v>312</v>
      </c>
      <c r="BL7" s="159" t="s">
        <v>290</v>
      </c>
      <c r="BO7" s="160" t="s">
        <v>127</v>
      </c>
      <c r="BP7" s="159" t="s">
        <v>313</v>
      </c>
      <c r="BQ7" s="159" t="s">
        <v>289</v>
      </c>
      <c r="BT7" s="168" t="s">
        <v>236</v>
      </c>
      <c r="BU7" s="168" t="s">
        <v>313</v>
      </c>
      <c r="BV7" s="168" t="s">
        <v>312</v>
      </c>
      <c r="BW7" s="168" t="s">
        <v>725</v>
      </c>
      <c r="BX7" s="168" t="s">
        <v>289</v>
      </c>
      <c r="BY7" s="168" t="s">
        <v>290</v>
      </c>
      <c r="BZ7" s="179" t="s">
        <v>508</v>
      </c>
      <c r="CA7" s="159" t="s">
        <v>706</v>
      </c>
      <c r="CT7" s="174" t="s">
        <v>295</v>
      </c>
      <c r="CU7" s="180">
        <f>IFERROR(SUMPRODUCT((bargiri[ماه]=CT7)*(bargiri[سال]=$BV$5)*(bargiri[میزان بارگیری شده])*(bargiri[فی])) /SUMIFS(bargiri[میزان بارگیری شده], bargiri[ماه], CT7, bargiri[سال], calc!$BV$5), "")</f>
        <v>69871.426049906455</v>
      </c>
      <c r="CV7" s="180">
        <f>IFERROR(SUMPRODUCT((bargiri[ماه]=CT7)*(bargiri[سال]=$BV$5)*(bargiri[میزان بارگیری شده])*(bargiri[فی])) /SUMIFS(bargiri[فی], bargiri[ماه], CT7, bargiri[سال], calc!$BV$5), "")</f>
        <v>12934.834518265625</v>
      </c>
      <c r="DA7" s="181" cm="1">
        <f t="array" ref="DA7">IFERROR(SUMPRODUCT((bargiri[سال]=$BV$5)*(bargiri[میزان بارگیری شده])*(bargiri[فی])) /SUMIF(bargiri[سال],DB6,bargiri[میزان بارگیری شده] ), "")</f>
        <v>87785.575836509684</v>
      </c>
      <c r="DH7" s="159">
        <v>1</v>
      </c>
      <c r="DI7" s="159" t="str">
        <f>INDEX(Table5[شماره عرضه],calc!$DI$5+ROW(A1)-1)</f>
        <v>عرضه دوازدهم</v>
      </c>
      <c r="DJ7" s="181">
        <f>INDEX(Table5[قیمت (ریال)],MATCH(calc!DI7,Table5[شماره عرضه],0),1)</f>
        <v>4608970000</v>
      </c>
      <c r="DP7" s="174" t="s">
        <v>295</v>
      </c>
      <c r="DQ7" s="159">
        <f>IF(SUMIFS(bargiri[میزان بارگیری شده],bargiri[سال],calc!$DQ$5,bargiri[ماه],calc!$DP7)=0,NA(),SUMIFS(bargiri[میزان بارگیری شده],bargiri[سال],calc!$DQ$5,bargiri[ماه],calc!$DP7))</f>
        <v>1349525</v>
      </c>
      <c r="DR7" s="159">
        <f>DQ7</f>
        <v>1349525</v>
      </c>
      <c r="DS7" s="159">
        <f>SUMIFS(bargiri[میزان بارگیری شده],bargiri[سال],calc!$DS$5,bargiri[ماه],calc!$DP7)</f>
        <v>1070380</v>
      </c>
      <c r="DT7" s="159">
        <f>DS7</f>
        <v>1070380</v>
      </c>
      <c r="DU7" s="169">
        <f>DR7/DT7</f>
        <v>1.2607905603617406</v>
      </c>
      <c r="DV7" s="225">
        <f>IF($EB$5=2,DQ7,DR7)</f>
        <v>1349525</v>
      </c>
      <c r="DW7" s="225">
        <f>IF($EB$5=2,DS7,DT7)</f>
        <v>1070380</v>
      </c>
      <c r="DX7" s="169">
        <f>DV7/DW7</f>
        <v>1.2607905603617406</v>
      </c>
      <c r="DY7" s="224"/>
      <c r="DZ7" s="159">
        <f>IF(SUMIFS(bargiri[قیمت کل بار],bargiri[سال],calc!$DQ$5,bargiri[ماه],calc!$DP7)=0,NA(),SUMIFS(bargiri[قیمت کل بار],bargiri[سال],calc!$DQ$5,bargiri[ماه],calc!$DP7))</f>
        <v>94293236240</v>
      </c>
      <c r="EA7" s="159">
        <f>DZ7</f>
        <v>94293236240</v>
      </c>
      <c r="EB7" s="159">
        <f>SUMIFS(bargiri[قیمت کل بار],bargiri[سال],calc!$DS$5,bargiri[ماه],calc!$DP7)</f>
        <v>64725641530</v>
      </c>
      <c r="EC7" s="159">
        <f>EB7</f>
        <v>64725641530</v>
      </c>
      <c r="ED7" s="169">
        <f>EA7/EC7</f>
        <v>1.4568142394740973</v>
      </c>
      <c r="EE7" s="159">
        <f>IF($EB$5=2,DZ7,EA7)</f>
        <v>94293236240</v>
      </c>
      <c r="EF7" s="159">
        <f>IF($EB$5=2,EB7,EC7)</f>
        <v>64725641530</v>
      </c>
      <c r="EG7" s="169">
        <f>IF(EE7/EF7=0,NA(),EE7/EF7)</f>
        <v>1.4568142394740973</v>
      </c>
      <c r="EJ7" s="174" t="s">
        <v>295</v>
      </c>
      <c r="EK7" s="231">
        <f>IF(SUMIFS(bargiri[میزان بارگیری شده],bargiri[سال],$EK$5,bargiri[ماه],EJ7)=0,"",SUMIFS(bargiri[میزان بارگیری شده],bargiri[سال],$EK$5,bargiri[ماه],EJ7))</f>
        <v>1349525</v>
      </c>
      <c r="EL7" s="232">
        <f>IF(SUMIFS(bargiri[قیمت کل بار],bargiri[سال],$EK$5,bargiri[ماه],EJ7)=0,"",SUMIFS(bargiri[قیمت کل بار],bargiri[سال],$EK$5,bargiri[ماه],EJ7))</f>
        <v>94293236240</v>
      </c>
      <c r="EM7" s="228">
        <f>AVERAGEIF($EK$7:$EK$18,"&lt;&gt;0",$EK$7:$EK$18)</f>
        <v>1762502</v>
      </c>
      <c r="EN7" s="229">
        <f>EM7+$EN$5</f>
        <v>2143833.4024834568</v>
      </c>
      <c r="EO7" s="229">
        <f>EM7-$EN$5</f>
        <v>1381170.5975165432</v>
      </c>
      <c r="EP7" s="230">
        <f>AVERAGEIF($EL$7:$EL$18,"&lt;&gt;0",$EL$7:$EL$18)</f>
        <v>154722252983</v>
      </c>
      <c r="EQ7" s="230">
        <f>EP7+$EQ$5</f>
        <v>193575005762.98251</v>
      </c>
      <c r="ER7" s="230">
        <f>EP7-$EQ$5</f>
        <v>115869500203.01749</v>
      </c>
    </row>
    <row r="8" spans="1:150" x14ac:dyDescent="0.6">
      <c r="A8" s="101" t="s">
        <v>251</v>
      </c>
      <c r="E8" s="115" t="s">
        <v>241</v>
      </c>
      <c r="F8" s="159">
        <f>SUMIF(invoice2[[نوع ]],calc!E8,invoice2[میزان سفارش])</f>
        <v>9130000</v>
      </c>
      <c r="G8" s="159" t="e">
        <f>SUMIF(invoice2[[نوع ]],calc!E8,invoice2[مانده])</f>
        <v>#REF!</v>
      </c>
      <c r="H8" s="159" t="e">
        <f>SUMIF(invoice2[[نوع ]],calc!E8,invoice2[حمل شده])</f>
        <v>#REF!</v>
      </c>
      <c r="I8" s="169" t="e">
        <f>G8/F8</f>
        <v>#REF!</v>
      </c>
      <c r="K8" s="319">
        <v>29</v>
      </c>
      <c r="L8" s="319">
        <v>156</v>
      </c>
      <c r="M8" s="171">
        <v>1722</v>
      </c>
      <c r="N8" s="182">
        <v>43135320</v>
      </c>
      <c r="O8" s="182">
        <v>27762670</v>
      </c>
      <c r="P8" s="171">
        <v>76196.471544715445</v>
      </c>
      <c r="Q8" s="183">
        <v>276508.46153846156</v>
      </c>
      <c r="R8" s="183">
        <v>16141.087209302326</v>
      </c>
      <c r="S8" s="183">
        <v>5763.1162654886293</v>
      </c>
      <c r="T8" s="183">
        <v>653203.68834573065</v>
      </c>
      <c r="U8" s="172">
        <f>O13/P13</f>
        <v>0.36437675004010722</v>
      </c>
      <c r="V8" s="173">
        <f>1-U8</f>
        <v>0.63562324995989283</v>
      </c>
      <c r="W8" s="169">
        <v>1</v>
      </c>
      <c r="Z8" s="161" t="s">
        <v>655</v>
      </c>
      <c r="AA8" s="319"/>
      <c r="AB8" s="241"/>
      <c r="AC8" s="319">
        <v>40000</v>
      </c>
      <c r="AD8" s="319">
        <v>0</v>
      </c>
      <c r="AE8"/>
      <c r="AN8" s="174" t="s">
        <v>116</v>
      </c>
      <c r="AO8" s="175">
        <v>6029400</v>
      </c>
      <c r="AP8" s="175">
        <v>2925360</v>
      </c>
      <c r="AQ8" s="175">
        <v>68753.280487804877</v>
      </c>
      <c r="AR8" s="322">
        <v>22</v>
      </c>
      <c r="AS8" s="322">
        <v>164</v>
      </c>
      <c r="AT8" s="219">
        <v>0.15437125596828735</v>
      </c>
      <c r="AU8" s="176">
        <f t="shared" ref="AU8:AU71" si="0">1-(AP8/AO8)</f>
        <v>0.51481739476564825</v>
      </c>
      <c r="AV8" s="177"/>
      <c r="AW8" s="177" t="s">
        <v>116</v>
      </c>
      <c r="AX8" s="221">
        <f>IFERROR(SUMIFS(invoice[میزان سفارش],invoice[سال],calc!$AX$5,invoice[نام مشتری],calc!AW8)+IFERROR(SUMIFS(invoice[میزان سفارش],invoice[سال],(calc!$AX$5)-1,invoice[نام مشتری],calc!AW8),0)-SUMIFS(bargiri[میزان بارگیری شده],bargiri[نام مشتری],calc!AW8,bargiri[سال],(calc!$AX$5)-1),"")</f>
        <v>3104040</v>
      </c>
      <c r="AY8" s="177"/>
      <c r="AZ8" s="177"/>
      <c r="BA8" s="168">
        <f>BA7+1</f>
        <v>2</v>
      </c>
      <c r="BB8" s="168" t="str">
        <f t="shared" ref="BB8:BB16" si="1">INDEX($AW$7:$AW$101,$BC$4+ROW(A3)-1)</f>
        <v>سپهر سرمد</v>
      </c>
      <c r="BC8" s="178">
        <f>SUMIFS(invoice[میزان سفارش],invoice[سال],calc!$AX$5,invoice[نام مشتری],calc!BB8)+IFERROR(SUMIFS(invoice[میزان سفارش],invoice[سال],(calc!$AX$5)-1,invoice[نام مشتری],calc!BB8),0)-SUMIFS(bargiri[میزان بارگیری شده],bargiri[نام مشتری],calc!BB8,bargiri[سال],(calc!$AX$5)-1)</f>
        <v>2500000</v>
      </c>
      <c r="BD8" s="178">
        <f>SUMIFS(bargiri[میزان بارگیری شده],bargiri[نام مشتری],calc!BB8,bargiri[سال],(calc!$AX$5))</f>
        <v>274225</v>
      </c>
      <c r="BE8" s="176">
        <f t="shared" ref="BE8:BE16" si="2">BD8/BC8</f>
        <v>0.10969</v>
      </c>
      <c r="BJ8" s="161" t="s">
        <v>300</v>
      </c>
      <c r="BK8" s="182">
        <v>1837830</v>
      </c>
      <c r="BL8" s="319">
        <v>98</v>
      </c>
      <c r="BO8" s="161" t="s">
        <v>300</v>
      </c>
      <c r="BP8" s="182">
        <v>98245</v>
      </c>
      <c r="BQ8" s="319">
        <v>4</v>
      </c>
      <c r="BT8" s="174" t="s">
        <v>295</v>
      </c>
      <c r="BU8" s="184">
        <f>IF(SUMIFS(invoice[میزان سفارش],invoice[ماه],calc!BT8,invoice[سال],calc!$BV$5)=0,"",SUMIFS(invoice[میزان سفارش],invoice[ماه],calc!BT8,invoice[سال],calc!$BV$5))</f>
        <v>6000</v>
      </c>
      <c r="BV8" s="184">
        <f>IF(SUMIFS(bargiri[میزان بارگیری شده],bargiri[ماه],calc!BT8,bargiri[سال],calc!$BV$5)=0,"",SUMIFS(bargiri[میزان بارگیری شده],bargiri[ماه],calc!BT8,bargiri[سال],calc!$BV$5))</f>
        <v>1349525</v>
      </c>
      <c r="BW8" s="184">
        <f>SUMIF(invoice[سال],$BV$5-1,invoice[میزان سفارش])-SUMIF(bargiri[سال],calc!$BV$5-1,bargiri[میزان بارگیری شده])</f>
        <v>10728525</v>
      </c>
      <c r="BX8" s="168" t="str">
        <f>IF($BX$6=TRUE,IF(COUNTIFS(invoice[ماه],calc!BT8,invoice[سال],calc!$BV$5)=0,"",COUNTIFS(invoice[ماه],calc!BT8,invoice[سال],calc!$BV$5)),"")</f>
        <v/>
      </c>
      <c r="BY8" s="168" t="str">
        <f>IF($BY$6=TRUE,IF(COUNTIFS(bargiri[ماه],calc!BT8,bargiri[سال],calc!$BV$5)=0,"",COUNTIFS(bargiri[ماه],calc!BT8,bargiri[سال],calc!$BV$5)),"")</f>
        <v/>
      </c>
      <c r="BZ8" s="185">
        <f>IF(AVERAGEIFS(bargiri[فی],bargiri[ماه],calc!BT8,bargiri[سال],calc!$BV$5)=0,"",AVERAGEIFS(bargiri[فی],bargiri[ماه],calc!BT8,bargiri[سال],calc!$BV$5))</f>
        <v>72898.679999999993</v>
      </c>
      <c r="CA8" s="169">
        <f>IFERROR(BV8/(BW8+BU8),NA())</f>
        <v>0.12571818501517301</v>
      </c>
      <c r="CC8" s="160" t="s">
        <v>127</v>
      </c>
      <c r="CD8" s="159" t="s">
        <v>317</v>
      </c>
      <c r="CE8" s="159" t="s">
        <v>316</v>
      </c>
      <c r="CJ8" s="160" t="s">
        <v>127</v>
      </c>
      <c r="CK8" s="159" t="s">
        <v>317</v>
      </c>
      <c r="CL8" s="159" t="s">
        <v>325</v>
      </c>
      <c r="CM8" s="159" t="s">
        <v>322</v>
      </c>
      <c r="CN8" s="159" t="s">
        <v>2</v>
      </c>
      <c r="CO8" s="186" t="s">
        <v>238</v>
      </c>
      <c r="CP8" s="187"/>
      <c r="CT8" s="174" t="s">
        <v>305</v>
      </c>
      <c r="CU8" s="180">
        <f>IFERROR(SUMPRODUCT((bargiri[ماه]=CT8)*(bargiri[سال]=$BV$5)*(bargiri[میزان بارگیری شده])*(bargiri[فی])) /SUMIFS(bargiri[میزان بارگیری شده], bargiri[ماه], CT8, bargiri[سال], calc!$BV$5), "")</f>
        <v>69929.062562607156</v>
      </c>
      <c r="CV8" s="180">
        <f>IFERROR(SUMPRODUCT((bargiri[ماه]=CT8)*(bargiri[سال]=$BV$5)*(bargiri[میزان بارگیری شده])*(bargiri[فی])) /SUMIFS(bargiri[فی], bargiri[ماه], CT8, bargiri[سال], calc!$BV$5), "")</f>
        <v>15092.80138283708</v>
      </c>
      <c r="DH8" s="159">
        <v>2</v>
      </c>
      <c r="DI8" s="159" t="str">
        <f>INDEX(Table5[شماره عرضه],calc!$DI$5+ROW(A2)-1)</f>
        <v>عرضه سیزدهم</v>
      </c>
      <c r="DJ8" s="181">
        <f>INDEX(Table5[قیمت (ریال)],MATCH(calc!DI8,Table5[شماره عرضه],0),1)</f>
        <v>13860000000</v>
      </c>
      <c r="DP8" s="174" t="s">
        <v>305</v>
      </c>
      <c r="DQ8" s="159">
        <f>IF(SUMIFS(bargiri[میزان بارگیری شده],bargiri[سال],calc!$DQ$5,bargiri[ماه],calc!$DP8)=0,NA(),SUMIFS(bargiri[میزان بارگیری شده],bargiri[سال],calc!$DQ$5,bargiri[ماه],calc!$DP8))</f>
        <v>2301055</v>
      </c>
      <c r="DR8" s="159">
        <f>IF(DQ8&lt;&gt;0,DR7+DQ8,NA())</f>
        <v>3650580</v>
      </c>
      <c r="DS8" s="159">
        <f>SUMIFS(bargiri[میزان بارگیری شده],bargiri[سال],calc!$DS$5,bargiri[ماه],calc!$DP8)</f>
        <v>694700</v>
      </c>
      <c r="DT8" s="159">
        <f>DT7+DS8</f>
        <v>1765080</v>
      </c>
      <c r="DU8" s="169">
        <f t="shared" ref="DU8:DU18" si="3">DR8/DT8</f>
        <v>2.0682235366102386</v>
      </c>
      <c r="DV8" s="225">
        <f t="shared" ref="DV8:DV18" si="4">IF($EB$5=2,DQ8,DR8)</f>
        <v>3650580</v>
      </c>
      <c r="DW8" s="225">
        <f t="shared" ref="DW8:DW18" si="5">IF($EB$5=2,DS8,DT8)</f>
        <v>1765080</v>
      </c>
      <c r="DX8" s="169">
        <f t="shared" ref="DX8:DX18" si="6">DV8/DW8</f>
        <v>2.0682235366102386</v>
      </c>
      <c r="DY8" s="224"/>
      <c r="DZ8" s="159">
        <f>IF(SUMIFS(bargiri[قیمت کل بار],bargiri[سال],calc!$DQ$5,bargiri[ماه],calc!$DP8)=0,NA(),SUMIFS(bargiri[قیمت کل بار],bargiri[سال],calc!$DQ$5,bargiri[ماه],calc!$DP8))</f>
        <v>160910619055</v>
      </c>
      <c r="EA8" s="159">
        <f>IF(DZ8&lt;&gt;0,EA7+DZ8,NA())</f>
        <v>255203855295</v>
      </c>
      <c r="EB8" s="159">
        <f>SUMIFS(bargiri[قیمت کل بار],bargiri[سال],calc!$DS$5,bargiri[ماه],calc!$DP8)</f>
        <v>43526028960</v>
      </c>
      <c r="EC8" s="159">
        <f>EC7+EB8</f>
        <v>108251670490</v>
      </c>
      <c r="ED8" s="169">
        <f t="shared" ref="ED8:ED18" si="7">EA8/EC8</f>
        <v>2.3575050079118647</v>
      </c>
      <c r="EE8" s="159">
        <f t="shared" ref="EE8:EE18" si="8">IF($EB$5=2,DZ8,EA8)</f>
        <v>255203855295</v>
      </c>
      <c r="EF8" s="159">
        <f t="shared" ref="EF8:EF18" si="9">IF($EB$5=2,EB8,EC8)</f>
        <v>108251670490</v>
      </c>
      <c r="EG8" s="169">
        <f t="shared" ref="EG8:EG18" si="10">IF(EE8/EF8=0,NA(),EE8/EF8)</f>
        <v>2.3575050079118647</v>
      </c>
      <c r="EJ8" s="174" t="s">
        <v>305</v>
      </c>
      <c r="EK8" s="231">
        <f>IF(SUMIFS(bargiri[میزان بارگیری شده],bargiri[سال],$EK$5,bargiri[ماه],EJ8)=0,"",SUMIFS(bargiri[میزان بارگیری شده],bargiri[سال],$EK$5,bargiri[ماه],EJ8))</f>
        <v>2301055</v>
      </c>
      <c r="EL8" s="232">
        <f>IF(SUMIFS(bargiri[قیمت کل بار],bargiri[سال],$EK$5,bargiri[ماه],EJ8)=0,"",SUMIFS(bargiri[قیمت کل بار],bargiri[سال],$EK$5,bargiri[ماه],EJ8))</f>
        <v>160910619055</v>
      </c>
      <c r="EM8" s="228">
        <f t="shared" ref="EM8:EM18" si="11">AVERAGEIF($EK$7:$EK$18,"&lt;&gt;0",$EK$7:$EK$18)</f>
        <v>1762502</v>
      </c>
      <c r="EN8" s="229">
        <f t="shared" ref="EN8:EN18" si="12">EM8+$EN$5</f>
        <v>2143833.4024834568</v>
      </c>
      <c r="EO8" s="229">
        <f t="shared" ref="EO8:EO18" si="13">EM8-$EN$5</f>
        <v>1381170.5975165432</v>
      </c>
      <c r="EP8" s="230">
        <f t="shared" ref="EP8:EP18" si="14">AVERAGEIF($EL$7:$EL$18,"&lt;&gt;0",$EL$7:$EL$18)</f>
        <v>154722252983</v>
      </c>
      <c r="EQ8" s="230">
        <f t="shared" ref="EQ8:EQ18" si="15">EP8+$EQ$5</f>
        <v>193575005762.98251</v>
      </c>
      <c r="ER8" s="230">
        <f t="shared" ref="ER8:ER18" si="16">EP8-$EQ$5</f>
        <v>115869500203.01749</v>
      </c>
      <c r="ET8" s="159">
        <v>110000000</v>
      </c>
    </row>
    <row r="9" spans="1:150" x14ac:dyDescent="0.6">
      <c r="A9" s="102" t="s">
        <v>100</v>
      </c>
      <c r="E9" s="2" t="s">
        <v>242</v>
      </c>
      <c r="F9" s="159">
        <f>SUMIF(invoice2[[نوع ]],calc!E9,invoice2[میزان سفارش])</f>
        <v>150000</v>
      </c>
      <c r="G9" s="159" t="e">
        <f>SUMIF(invoice2[[نوع ]],calc!E9,invoice2[مانده])</f>
        <v>#REF!</v>
      </c>
      <c r="H9" s="159" t="e">
        <f>SUMIF(invoice2[[نوع ]],calc!E9,invoice2[حمل شده])</f>
        <v>#REF!</v>
      </c>
      <c r="I9" s="169" t="e">
        <f>G9/F9</f>
        <v>#REF!</v>
      </c>
      <c r="O9" s="188">
        <f>P13-O13</f>
        <v>15372650</v>
      </c>
      <c r="Z9" s="161" t="s">
        <v>760</v>
      </c>
      <c r="AA9" s="319"/>
      <c r="AB9" s="241"/>
      <c r="AC9" s="319">
        <v>30000</v>
      </c>
      <c r="AD9" s="319">
        <v>0</v>
      </c>
      <c r="AE9"/>
      <c r="AN9" s="174" t="s">
        <v>106</v>
      </c>
      <c r="AO9" s="175">
        <v>2602430</v>
      </c>
      <c r="AP9" s="175">
        <v>1455175</v>
      </c>
      <c r="AQ9" s="175">
        <v>64767.441860465115</v>
      </c>
      <c r="AR9" s="322">
        <v>6</v>
      </c>
      <c r="AS9" s="322">
        <v>86</v>
      </c>
      <c r="AT9" s="219">
        <v>7.6789589111648668E-2</v>
      </c>
      <c r="AU9" s="176">
        <f t="shared" si="0"/>
        <v>0.44083990731739187</v>
      </c>
      <c r="AV9" s="177"/>
      <c r="AW9" s="177" t="s">
        <v>109</v>
      </c>
      <c r="AX9" s="221">
        <f>IFERROR(SUMIFS(invoice[میزان سفارش],invoice[سال],calc!$AX$5,invoice[نام مشتری],calc!AW9)+IFERROR(SUMIFS(invoice[میزان سفارش],invoice[سال],(calc!$AX$5)-1,invoice[نام مشتری],calc!AW9),0)-SUMIFS(bargiri[میزان بارگیری شده],bargiri[نام مشتری],calc!AW9,bargiri[سال],(calc!$AX$5)-1),"")</f>
        <v>2500000</v>
      </c>
      <c r="AY9" s="177"/>
      <c r="AZ9" s="177"/>
      <c r="BA9" s="168">
        <f t="shared" ref="BA9:BA16" si="17">BA8+1</f>
        <v>3</v>
      </c>
      <c r="BB9" s="168" t="str">
        <f t="shared" si="1"/>
        <v>گاز کربنیک غرب</v>
      </c>
      <c r="BC9" s="178">
        <f>SUMIFS(invoice[میزان سفارش],invoice[سال],calc!$AX$5,invoice[نام مشتری],calc!BB9)+IFERROR(SUMIFS(invoice[میزان سفارش],invoice[سال],(calc!$AX$5)-1,invoice[نام مشتری],calc!BB9),0)-SUMIFS(bargiri[میزان بارگیری شده],bargiri[نام مشتری],calc!BB9,bargiri[سال],(calc!$AX$5)-1)</f>
        <v>1309195</v>
      </c>
      <c r="BD9" s="178">
        <f>SUMIFS(bargiri[میزان بارگیری شده],bargiri[نام مشتری],calc!BB9,bargiri[سال],(calc!$AX$5))</f>
        <v>250970</v>
      </c>
      <c r="BE9" s="176">
        <f t="shared" si="2"/>
        <v>0.1916979517948052</v>
      </c>
      <c r="BJ9" s="161" t="s">
        <v>299</v>
      </c>
      <c r="BK9" s="182">
        <v>1643255</v>
      </c>
      <c r="BL9" s="319">
        <v>95</v>
      </c>
      <c r="BM9" s="182">
        <f>AVERAGE(BK9:BK22)</f>
        <v>1555666.3636363635</v>
      </c>
      <c r="BO9" s="161" t="s">
        <v>299</v>
      </c>
      <c r="BP9" s="182">
        <v>885900</v>
      </c>
      <c r="BQ9" s="319">
        <v>5</v>
      </c>
      <c r="BR9" s="182">
        <f>AVERAGE(BP9:BP22)</f>
        <v>3912461.3636363638</v>
      </c>
      <c r="BT9" s="174" t="s">
        <v>305</v>
      </c>
      <c r="BU9" s="184">
        <f>IF(SUMIFS(invoice[میزان سفارش],invoice[ماه],calc!BT9,invoice[سال],calc!$BV$5)=0,"",SUMIFS(invoice[میزان سفارش],invoice[ماه],calc!BT9,invoice[سال],calc!$BV$5))</f>
        <v>11347690</v>
      </c>
      <c r="BV9" s="184">
        <f>IF(SUMIFS(bargiri[میزان بارگیری شده],bargiri[ماه],calc!BT9,bargiri[سال],calc!$BV$5)=0,"",SUMIFS(bargiri[میزان بارگیری شده],bargiri[ماه],calc!BT9,bargiri[سال],calc!$BV$5))</f>
        <v>2301055</v>
      </c>
      <c r="BW9" s="184">
        <f>IF(BV9="","",SUM($BU$8:BU8)-SUM($BV$8:BV8)+$BW$8)</f>
        <v>9385000</v>
      </c>
      <c r="BX9" s="168" t="str">
        <f>IF($BX$6=TRUE,IF(COUNTIFS(invoice[ماه],calc!BT9,invoice[سال],calc!$BV$5)=0,"",COUNTIFS(invoice[ماه],calc!BT9,invoice[سال],calc!$BV$5)),"")</f>
        <v/>
      </c>
      <c r="BY9" s="168" t="str">
        <f>IF($BY$6=TRUE,IF(COUNTIFS(bargiri[ماه],calc!BT9,bargiri[سال],calc!$BV$5)=0,"",COUNTIFS(bargiri[ماه],calc!BT9,bargiri[سال],calc!$BV$5)),"")</f>
        <v/>
      </c>
      <c r="BZ9" s="185">
        <f>IF(AVERAGEIFS(bargiri[فی],bargiri[ماه],calc!BT9,bargiri[سال],calc!$BV$5)=0,"",AVERAGEIFS(bargiri[فی],bargiri[ماه],calc!BT9,bargiri[سال],calc!$BV$5))</f>
        <v>72036.58783783784</v>
      </c>
      <c r="CA9" s="169">
        <f>IFERROR(BV9/(BW9+BU9),NA())</f>
        <v>0.110986803931376</v>
      </c>
      <c r="CC9" s="161" t="s">
        <v>6</v>
      </c>
      <c r="CD9" s="171">
        <v>20000</v>
      </c>
      <c r="CE9" s="171">
        <v>92180</v>
      </c>
      <c r="CJ9" s="161" t="s">
        <v>76</v>
      </c>
      <c r="CK9" s="319">
        <v>50000</v>
      </c>
      <c r="CL9" s="319">
        <v>75000</v>
      </c>
      <c r="CM9" s="319">
        <v>50225</v>
      </c>
      <c r="CN9" s="319">
        <v>75000</v>
      </c>
      <c r="CO9" s="189" t="str">
        <f>IF(CK9-CM9&gt;0,CK9-CM9,"")</f>
        <v/>
      </c>
      <c r="CP9" s="190" t="str">
        <f>IF(CO9&lt;&gt;"",CL9,"")</f>
        <v/>
      </c>
      <c r="CT9" s="174" t="s">
        <v>311</v>
      </c>
      <c r="CU9" s="180">
        <f>IFERROR(SUMPRODUCT((bargiri[ماه]=CT9)*(bargiri[سال]=$BV$5)*(bargiri[میزان بارگیری شده])*(bargiri[فی])) /SUMIFS(bargiri[میزان بارگیری شده], bargiri[ماه], CT9, bargiri[سال], calc!$BV$5), "")</f>
        <v>101397.48648093926</v>
      </c>
      <c r="CV9" s="180">
        <f>IFERROR(SUMPRODUCT((bargiri[ماه]=CT9)*(bargiri[سال]=$BV$5)*(bargiri[میزان بارگیری شده])*(bargiri[فی])) /SUMIFS(bargiri[فی], bargiri[ماه], CT9, bargiri[سال], calc!$BV$5), "")</f>
        <v>14234.523306792467</v>
      </c>
      <c r="DA9" s="168" t="s">
        <v>594</v>
      </c>
      <c r="DB9" s="168" t="str" vm="7">
        <f>CK5</f>
        <v>طوس قزوین</v>
      </c>
      <c r="DH9" s="159">
        <v>3</v>
      </c>
      <c r="DI9" s="159" t="str">
        <f>INDEX(Table5[شماره عرضه],calc!$DI$5+ROW(A3)-1)</f>
        <v>عرضه چهاردهم</v>
      </c>
      <c r="DJ9" s="181">
        <f>INDEX(Table5[قیمت (ریال)],MATCH(calc!DI9,Table5[شماره عرضه],0),1)</f>
        <v>15120000000</v>
      </c>
      <c r="DP9" s="174" t="s">
        <v>311</v>
      </c>
      <c r="DQ9" s="159">
        <f>IF(SUMIFS(bargiri[میزان بارگیری شده],bargiri[سال],calc!$DQ$5,bargiri[ماه],calc!$DP9)=0,NA(),SUMIFS(bargiri[میزان بارگیری شده],bargiri[سال],calc!$DQ$5,bargiri[ماه],calc!$DP9))</f>
        <v>1924505</v>
      </c>
      <c r="DR9" s="159">
        <f t="shared" ref="DR9:DR18" si="18">IF(DQ9&lt;&gt;0,DR8+DQ9,NA())</f>
        <v>5575085</v>
      </c>
      <c r="DS9" s="159">
        <f>SUMIFS(bargiri[میزان بارگیری شده],bargiri[سال],calc!$DS$5,bargiri[ماه],calc!$DP9)</f>
        <v>154150</v>
      </c>
      <c r="DT9" s="159">
        <f t="shared" ref="DT9:DT18" si="19">DT8+DS9</f>
        <v>1919230</v>
      </c>
      <c r="DU9" s="169">
        <f t="shared" si="3"/>
        <v>2.9048550720862014</v>
      </c>
      <c r="DV9" s="225">
        <f t="shared" si="4"/>
        <v>5575085</v>
      </c>
      <c r="DW9" s="225">
        <f t="shared" si="5"/>
        <v>1919230</v>
      </c>
      <c r="DX9" s="169">
        <f t="shared" si="6"/>
        <v>2.9048550720862014</v>
      </c>
      <c r="DY9" s="224"/>
      <c r="DZ9" s="159">
        <f>IF(SUMIFS(bargiri[قیمت کل بار],bargiri[سال],calc!$DQ$5,bargiri[ماه],calc!$DP9)=0,NA(),SUMIFS(bargiri[قیمت کل بار],bargiri[سال],calc!$DQ$5,bargiri[ماه],calc!$DP9))</f>
        <v>195139969720</v>
      </c>
      <c r="EA9" s="159">
        <f t="shared" ref="EA9:EA18" si="20">IF(DZ9&lt;&gt;0,EA8+DZ9,NA())</f>
        <v>450343825015</v>
      </c>
      <c r="EB9" s="159">
        <f>SUMIFS(bargiri[قیمت کل بار],bargiri[سال],calc!$DS$5,bargiri[ماه],calc!$DP9)</f>
        <v>10107245000</v>
      </c>
      <c r="EC9" s="159">
        <f t="shared" ref="EC9:EC18" si="21">EC8+EB9</f>
        <v>118358915490</v>
      </c>
      <c r="ED9" s="169">
        <f t="shared" si="7"/>
        <v>3.8048998941110526</v>
      </c>
      <c r="EE9" s="159">
        <f t="shared" si="8"/>
        <v>450343825015</v>
      </c>
      <c r="EF9" s="159">
        <f t="shared" si="9"/>
        <v>118358915490</v>
      </c>
      <c r="EG9" s="169">
        <f t="shared" si="10"/>
        <v>3.8048998941110526</v>
      </c>
      <c r="EJ9" s="174" t="s">
        <v>311</v>
      </c>
      <c r="EK9" s="231">
        <f>IF(SUMIFS(bargiri[میزان بارگیری شده],bargiri[سال],$EK$5,bargiri[ماه],EJ9)=0,"",SUMIFS(bargiri[میزان بارگیری شده],bargiri[سال],$EK$5,bargiri[ماه],EJ9))</f>
        <v>1924505</v>
      </c>
      <c r="EL9" s="232">
        <f>IF(SUMIFS(bargiri[قیمت کل بار],bargiri[سال],$EK$5,bargiri[ماه],EJ9)=0,"",SUMIFS(bargiri[قیمت کل بار],bargiri[سال],$EK$5,bargiri[ماه],EJ9))</f>
        <v>195139969720</v>
      </c>
      <c r="EM9" s="228">
        <f t="shared" si="11"/>
        <v>1762502</v>
      </c>
      <c r="EN9" s="229">
        <f t="shared" si="12"/>
        <v>2143833.4024834568</v>
      </c>
      <c r="EO9" s="229">
        <f t="shared" si="13"/>
        <v>1381170.5975165432</v>
      </c>
      <c r="EP9" s="230">
        <f t="shared" si="14"/>
        <v>154722252983</v>
      </c>
      <c r="EQ9" s="230">
        <f t="shared" si="15"/>
        <v>193575005762.98251</v>
      </c>
      <c r="ER9" s="230">
        <f t="shared" si="16"/>
        <v>115869500203.01749</v>
      </c>
      <c r="ET9" s="159">
        <v>200000</v>
      </c>
    </row>
    <row r="10" spans="1:150" x14ac:dyDescent="0.6">
      <c r="A10" s="101" t="s">
        <v>101</v>
      </c>
      <c r="E10" s="115" t="s">
        <v>243</v>
      </c>
      <c r="F10" s="159">
        <f>SUMIF(invoice2[[نوع ]],calc!E10,invoice2[میزان سفارش])</f>
        <v>20991960</v>
      </c>
      <c r="G10" s="159" t="e">
        <f>SUMIF(invoice2[[نوع ]],calc!E10,invoice2[مانده])</f>
        <v>#REF!</v>
      </c>
      <c r="H10" s="159" t="e">
        <f>SUMIF(invoice2[[نوع ]],calc!E10,invoice2[حمل شده])</f>
        <v>#REF!</v>
      </c>
      <c r="I10" s="169" t="e">
        <f>G10/F10</f>
        <v>#REF!</v>
      </c>
      <c r="Z10" s="161" t="s">
        <v>542</v>
      </c>
      <c r="AA10" s="319"/>
      <c r="AB10" s="241"/>
      <c r="AC10" s="319">
        <v>65000</v>
      </c>
      <c r="AD10" s="319">
        <v>0</v>
      </c>
      <c r="AE10"/>
      <c r="AN10" s="174" t="s">
        <v>109</v>
      </c>
      <c r="AO10" s="175">
        <v>2500000</v>
      </c>
      <c r="AP10" s="175"/>
      <c r="AQ10" s="175"/>
      <c r="AR10" s="322">
        <v>2</v>
      </c>
      <c r="AS10" s="322"/>
      <c r="AT10" s="219">
        <v>0</v>
      </c>
      <c r="AU10" s="176">
        <f t="shared" si="0"/>
        <v>1</v>
      </c>
      <c r="AV10" s="177"/>
      <c r="AW10" s="177" t="s">
        <v>122</v>
      </c>
      <c r="AX10" s="221">
        <f>IFERROR(SUMIFS(invoice[میزان سفارش],invoice[سال],calc!$AX$5,invoice[نام مشتری],calc!AW10)+IFERROR(SUMIFS(invoice[میزان سفارش],invoice[سال],(calc!$AX$5)-1,invoice[نام مشتری],calc!AW10),0)-SUMIFS(bargiri[میزان بارگیری شده],bargiri[نام مشتری],calc!AW10,bargiri[سال],(calc!$AX$5)-1),"")</f>
        <v>1309195</v>
      </c>
      <c r="AY10" s="177"/>
      <c r="AZ10" s="177"/>
      <c r="BA10" s="168">
        <f t="shared" si="17"/>
        <v>4</v>
      </c>
      <c r="BB10" s="168" t="str">
        <f t="shared" si="1"/>
        <v>تعاونی ماهان گاز</v>
      </c>
      <c r="BC10" s="178">
        <f>SUMIFS(invoice[میزان سفارش],invoice[سال],calc!$AX$5,invoice[نام مشتری],calc!BB10)+IFERROR(SUMIFS(invoice[میزان سفارش],invoice[سال],(calc!$AX$5)-1,invoice[نام مشتری],calc!BB10),0)-SUMIFS(bargiri[میزان بارگیری شده],bargiri[نام مشتری],calc!BB10,bargiri[سال],(calc!$AX$5)-1)</f>
        <v>1297415</v>
      </c>
      <c r="BD10" s="178">
        <f>SUMIFS(bargiri[میزان بارگیری شده],bargiri[نام مشتری],calc!BB10,bargiri[سال],(calc!$AX$5))</f>
        <v>293835</v>
      </c>
      <c r="BE10" s="176">
        <f t="shared" si="2"/>
        <v>0.22647726440653146</v>
      </c>
      <c r="BJ10" s="161" t="s">
        <v>305</v>
      </c>
      <c r="BK10" s="182">
        <v>694700</v>
      </c>
      <c r="BL10" s="319">
        <v>44</v>
      </c>
      <c r="BO10" s="161" t="s">
        <v>305</v>
      </c>
      <c r="BP10" s="182">
        <v>12047690</v>
      </c>
      <c r="BQ10" s="319">
        <v>38</v>
      </c>
      <c r="BT10" s="174" t="s">
        <v>311</v>
      </c>
      <c r="BU10" s="184">
        <f>IF(SUMIFS(invoice[میزان سفارش],invoice[ماه],calc!BT10,invoice[سال],calc!$BV$5)=0,"",SUMIFS(invoice[میزان سفارش],invoice[ماه],calc!BT10,invoice[سال],calc!$BV$5))</f>
        <v>1282945</v>
      </c>
      <c r="BV10" s="184">
        <f>IF(SUMIFS(bargiri[میزان بارگیری شده],bargiri[ماه],calc!BT10,bargiri[سال],calc!$BV$5)=0,"",SUMIFS(bargiri[میزان بارگیری شده],bargiri[ماه],calc!BT10,bargiri[سال],calc!$BV$5))</f>
        <v>1924505</v>
      </c>
      <c r="BW10" s="184">
        <f>IF(BV10="","",SUM($BU$8:BU9)-SUM($BV$8:BV9)+$BW$8)</f>
        <v>18431635</v>
      </c>
      <c r="BX10" s="168" t="str">
        <f>IF($BX$6=TRUE,IF(COUNTIFS(invoice[ماه],calc!BT10,invoice[سال],calc!$BV$5)=0,"",COUNTIFS(invoice[ماه],calc!BT10,invoice[سال],calc!$BV$5)),"")</f>
        <v/>
      </c>
      <c r="BY10" s="168" t="str">
        <f>IF($BY$6=TRUE,IF(COUNTIFS(bargiri[ماه],calc!BT10,bargiri[سال],calc!$BV$5)=0,"",COUNTIFS(bargiri[ماه],calc!BT10,bargiri[سال],calc!$BV$5)),"")</f>
        <v/>
      </c>
      <c r="BZ10" s="185">
        <f>IF(AVERAGEIFS(bargiri[فی],bargiri[ماه],calc!BT10,bargiri[سال],calc!$BV$5)=0,"",AVERAGEIFS(bargiri[فی],bargiri[ماه],calc!BT10,bargiri[سال],calc!$BV$5))</f>
        <v>106270.71317829458</v>
      </c>
      <c r="CA10" s="169">
        <f>IFERROR(BV10/(BW10+BU10),NA())</f>
        <v>9.761836163894945E-2</v>
      </c>
      <c r="CJ10" s="161" t="s">
        <v>616</v>
      </c>
      <c r="CK10" s="319">
        <v>857945</v>
      </c>
      <c r="CL10" s="319">
        <v>95000</v>
      </c>
      <c r="CM10" s="319">
        <v>271395</v>
      </c>
      <c r="CN10" s="319">
        <v>95000</v>
      </c>
      <c r="CO10" s="189">
        <f t="shared" ref="CO10:CO30" si="22">IF(CK10-CM10&gt;0,CK10-CM10,"")</f>
        <v>586550</v>
      </c>
      <c r="CP10" s="190">
        <f t="shared" ref="CP10:CP30" si="23">IF(CO10&lt;&gt;"",CL10,"")</f>
        <v>95000</v>
      </c>
      <c r="CT10" s="174" t="s">
        <v>304</v>
      </c>
      <c r="CU10" s="180">
        <f>IFERROR(SUMPRODUCT((bargiri[ماه]=CT10)*(bargiri[سال]=$BV$5)*(bargiri[میزان بارگیری شده])*(bargiri[فی])) /SUMIFS(bargiri[میزان بارگیری شده], bargiri[ماه], CT10, bargiri[سال], calc!$BV$5), "")</f>
        <v>98982.84104301456</v>
      </c>
      <c r="CV10" s="180">
        <f>IFERROR(SUMPRODUCT((bargiri[ماه]=CT10)*(bargiri[سال]=$BV$5)*(bargiri[میزان بارگیری شده])*(bargiri[فی])) /SUMIFS(bargiri[فی], bargiri[ماه], CT10, bargiri[سال], calc!$BV$5), "")</f>
        <v>14770.300524280909</v>
      </c>
      <c r="DA10" s="181" cm="1">
        <f t="array" ref="DA10">IFERROR(SUMPRODUCT((bargiri[نام مشتری]=DB9)*(bargiri[میزان بارگیری شده])*(bargiri[فی])) /SUMIF(bargiri[نام مشتری],DB9,bargiri[میزان بارگیری شده] ), "")</f>
        <v>80675.285169779541</v>
      </c>
      <c r="DH10" s="159">
        <v>4</v>
      </c>
      <c r="DI10" s="159" t="str">
        <f>INDEX(Table5[شماره عرضه],calc!$DI$5+ROW(A4)-1)</f>
        <v>عرضه پانزدهم</v>
      </c>
      <c r="DJ10" s="181">
        <f>INDEX(Table5[قیمت (ریال)],MATCH(calc!DI10,Table5[شماره عرضه],0),1)</f>
        <v>15115000000</v>
      </c>
      <c r="DP10" s="174" t="s">
        <v>304</v>
      </c>
      <c r="DQ10" s="159">
        <f>IF(SUMIFS(bargiri[میزان بارگیری شده],bargiri[سال],calc!$DQ$5,bargiri[ماه],calc!$DP10)=0,NA(),SUMIFS(bargiri[میزان بارگیری شده],bargiri[سال],calc!$DQ$5,bargiri[ماه],calc!$DP10))</f>
        <v>1455205</v>
      </c>
      <c r="DR10" s="159">
        <f t="shared" si="18"/>
        <v>7030290</v>
      </c>
      <c r="DS10" s="159">
        <f>SUMIFS(bargiri[میزان بارگیری شده],bargiri[سال],calc!$DS$5,bargiri[ماه],calc!$DP10)</f>
        <v>1858710</v>
      </c>
      <c r="DT10" s="159">
        <f t="shared" si="19"/>
        <v>3777940</v>
      </c>
      <c r="DU10" s="169">
        <f t="shared" si="3"/>
        <v>1.8608792093045416</v>
      </c>
      <c r="DV10" s="225">
        <f t="shared" si="4"/>
        <v>7030290</v>
      </c>
      <c r="DW10" s="225">
        <f t="shared" si="5"/>
        <v>3777940</v>
      </c>
      <c r="DX10" s="169">
        <f t="shared" si="6"/>
        <v>1.8608792093045416</v>
      </c>
      <c r="DY10" s="224"/>
      <c r="DZ10" s="159">
        <f>IF(SUMIFS(bargiri[قیمت کل بار],bargiri[سال],calc!$DQ$5,bargiri[ماه],calc!$DP10)=0,NA(),SUMIFS(bargiri[قیمت کل بار],bargiri[سال],calc!$DQ$5,bargiri[ماه],calc!$DP10))</f>
        <v>144040325200</v>
      </c>
      <c r="EA10" s="159">
        <f t="shared" si="20"/>
        <v>594384150215</v>
      </c>
      <c r="EB10" s="159">
        <f>SUMIFS(bargiri[قیمت کل بار],bargiri[سال],calc!$DS$5,bargiri[ماه],calc!$DP10)</f>
        <v>123722848150</v>
      </c>
      <c r="EC10" s="159">
        <f t="shared" si="21"/>
        <v>242081763640</v>
      </c>
      <c r="ED10" s="169">
        <f t="shared" si="7"/>
        <v>2.4553032879374967</v>
      </c>
      <c r="EE10" s="159">
        <f t="shared" si="8"/>
        <v>594384150215</v>
      </c>
      <c r="EF10" s="159">
        <f t="shared" si="9"/>
        <v>242081763640</v>
      </c>
      <c r="EG10" s="169">
        <f t="shared" si="10"/>
        <v>2.4553032879374967</v>
      </c>
      <c r="EJ10" s="174" t="s">
        <v>304</v>
      </c>
      <c r="EK10" s="231">
        <f>IF(SUMIFS(bargiri[میزان بارگیری شده],bargiri[سال],$EK$5,bargiri[ماه],EJ10)=0,"",SUMIFS(bargiri[میزان بارگیری شده],bargiri[سال],$EK$5,bargiri[ماه],EJ10))</f>
        <v>1455205</v>
      </c>
      <c r="EL10" s="232">
        <f>IF(SUMIFS(bargiri[قیمت کل بار],bargiri[سال],$EK$5,bargiri[ماه],EJ10)=0,"",SUMIFS(bargiri[قیمت کل بار],bargiri[سال],$EK$5,bargiri[ماه],EJ10))</f>
        <v>144040325200</v>
      </c>
      <c r="EM10" s="228">
        <f t="shared" si="11"/>
        <v>1762502</v>
      </c>
      <c r="EN10" s="229">
        <f t="shared" si="12"/>
        <v>2143833.4024834568</v>
      </c>
      <c r="EO10" s="229">
        <f t="shared" si="13"/>
        <v>1381170.5975165432</v>
      </c>
      <c r="EP10" s="230">
        <f t="shared" si="14"/>
        <v>154722252983</v>
      </c>
      <c r="EQ10" s="230">
        <f t="shared" si="15"/>
        <v>193575005762.98251</v>
      </c>
      <c r="ER10" s="230">
        <f t="shared" si="16"/>
        <v>115869500203.01749</v>
      </c>
      <c r="ET10" s="230">
        <f>ET8*ET9</f>
        <v>22000000000000</v>
      </c>
    </row>
    <row r="11" spans="1:150" x14ac:dyDescent="0.6">
      <c r="A11" s="101" t="s">
        <v>102</v>
      </c>
      <c r="Z11" s="161" t="s">
        <v>661</v>
      </c>
      <c r="AA11" s="319"/>
      <c r="AB11" s="241"/>
      <c r="AC11" s="319">
        <v>50000</v>
      </c>
      <c r="AD11" s="319">
        <v>0</v>
      </c>
      <c r="AE11"/>
      <c r="AN11" s="174" t="s">
        <v>99</v>
      </c>
      <c r="AO11" s="175">
        <v>2162140</v>
      </c>
      <c r="AP11" s="175">
        <v>1164165</v>
      </c>
      <c r="AQ11" s="175">
        <v>62656.25</v>
      </c>
      <c r="AR11" s="322">
        <v>3</v>
      </c>
      <c r="AS11" s="322">
        <v>64</v>
      </c>
      <c r="AT11" s="219">
        <v>6.1432990539393863E-2</v>
      </c>
      <c r="AU11" s="176">
        <f t="shared" si="0"/>
        <v>0.46156816857372784</v>
      </c>
      <c r="AV11" s="177"/>
      <c r="AW11" s="177" t="s">
        <v>102</v>
      </c>
      <c r="AX11" s="221">
        <f>IFERROR(SUMIFS(invoice[میزان سفارش],invoice[سال],calc!$AX$5,invoice[نام مشتری],calc!AW11)+IFERROR(SUMIFS(invoice[میزان سفارش],invoice[سال],(calc!$AX$5)-1,invoice[نام مشتری],calc!AW11),0)-SUMIFS(bargiri[میزان بارگیری شده],bargiri[نام مشتری],calc!AW11,bargiri[سال],(calc!$AX$5)-1),"")</f>
        <v>1297415</v>
      </c>
      <c r="AY11" s="177"/>
      <c r="AZ11" s="177"/>
      <c r="BA11" s="168">
        <f t="shared" si="17"/>
        <v>5</v>
      </c>
      <c r="BB11" s="168" t="str">
        <f t="shared" si="1"/>
        <v>تولید گازهای طبی و صنعتی مددکاران اصفهان</v>
      </c>
      <c r="BC11" s="178">
        <f>SUMIFS(invoice[میزان سفارش],invoice[سال],calc!$AX$5,invoice[نام مشتری],calc!BB11)+IFERROR(SUMIFS(invoice[میزان سفارش],invoice[سال],(calc!$AX$5)-1,invoice[نام مشتری],calc!BB11),0)-SUMIFS(bargiri[میزان بارگیری شده],bargiri[نام مشتری],calc!BB11,bargiri[سال],(calc!$AX$5)-1)</f>
        <v>1225010</v>
      </c>
      <c r="BD11" s="178">
        <f>SUMIFS(bargiri[میزان بارگیری شده],bargiri[نام مشتری],calc!BB11,bargiri[سال],(calc!$AX$5))</f>
        <v>386910</v>
      </c>
      <c r="BE11" s="176">
        <f t="shared" si="2"/>
        <v>0.31584231965453341</v>
      </c>
      <c r="BJ11" s="161" t="s">
        <v>296</v>
      </c>
      <c r="BK11" s="182">
        <v>1699765</v>
      </c>
      <c r="BL11" s="319">
        <v>105</v>
      </c>
      <c r="BO11" s="161" t="s">
        <v>296</v>
      </c>
      <c r="BP11" s="182">
        <v>568440</v>
      </c>
      <c r="BQ11" s="319">
        <v>12</v>
      </c>
      <c r="BT11" s="174" t="s">
        <v>304</v>
      </c>
      <c r="BU11" s="184">
        <f>IF(SUMIFS(invoice[میزان سفارش],invoice[ماه],calc!BT11,invoice[سال],calc!$BV$5)=0,"",SUMIFS(invoice[میزان سفارش],invoice[ماه],calc!BT11,invoice[سال],calc!$BV$5))</f>
        <v>500000</v>
      </c>
      <c r="BV11" s="184">
        <f>IF(SUMIFS(bargiri[میزان بارگیری شده],bargiri[ماه],calc!BT11,bargiri[سال],calc!$BV$5)=0,"",SUMIFS(bargiri[میزان بارگیری شده],bargiri[ماه],calc!BT11,bargiri[سال],calc!$BV$5))</f>
        <v>1455205</v>
      </c>
      <c r="BW11" s="184">
        <f>IF(BV11="","",SUM($BU$8:BU10)-SUM($BV$8:BV10)+$BW$8)</f>
        <v>17790075</v>
      </c>
      <c r="BX11" s="168" t="str">
        <f>IF($BX$6=TRUE,IF(COUNTIFS(invoice[ماه],calc!BT11,invoice[سال],calc!$BV$5)=0,"",COUNTIFS(invoice[ماه],calc!BT11,invoice[سال],calc!$BV$5)),"")</f>
        <v/>
      </c>
      <c r="BY11" s="168" t="str">
        <f>IF($BY$6=TRUE,IF(COUNTIFS(bargiri[ماه],calc!BT11,bargiri[سال],calc!$BV$5)=0,"",COUNTIFS(bargiri[ماه],calc!BT11,bargiri[سال],calc!$BV$5)),"")</f>
        <v/>
      </c>
      <c r="BZ11" s="185">
        <f>IF(AVERAGEIFS(bargiri[فی],bargiri[ماه],calc!BT11,bargiri[سال],calc!$BV$5)=0,"",AVERAGEIFS(bargiri[فی],bargiri[ماه],calc!BT11,bargiri[سال],calc!$BV$5))</f>
        <v>106000.26086956522</v>
      </c>
      <c r="CA11" s="169">
        <f>IFERROR(BV11/(BW11+BU11),NA())</f>
        <v>7.9562549634159513E-2</v>
      </c>
      <c r="CJ11" s="161" t="s">
        <v>572</v>
      </c>
      <c r="CK11" s="319">
        <v>1000000</v>
      </c>
      <c r="CL11" s="319">
        <v>142000</v>
      </c>
      <c r="CM11" s="319">
        <v>233990</v>
      </c>
      <c r="CN11" s="319">
        <v>142000</v>
      </c>
      <c r="CO11" s="189">
        <f t="shared" si="22"/>
        <v>766010</v>
      </c>
      <c r="CP11" s="190">
        <f t="shared" si="23"/>
        <v>142000</v>
      </c>
      <c r="CT11" s="174" t="s">
        <v>303</v>
      </c>
      <c r="CU11" s="180">
        <f>IFERROR(SUMPRODUCT((bargiri[ماه]=CT11)*(bargiri[سال]=$BV$5)*(bargiri[میزان بارگیری شده])*(bargiri[فی])) /SUMIFS(bargiri[میزان بارگیری شده], bargiri[ماه], CT11, bargiri[سال], calc!$BV$5), "")</f>
        <v>100563.96780419926</v>
      </c>
      <c r="CV11" s="180">
        <f>IFERROR(SUMPRODUCT((bargiri[ماه]=CT11)*(bargiri[سال]=$BV$5)*(bargiri[میزان بارگیری شده])*(bargiri[فی])) /SUMIFS(bargiri[فی], bargiri[ماه], CT11, bargiri[سال], calc!$BV$5), "")</f>
        <v>15213.331270676963</v>
      </c>
      <c r="DH11" s="159">
        <v>5</v>
      </c>
      <c r="DI11" s="159" t="str">
        <f>INDEX(Table5[شماره عرضه],calc!$DI$5+ROW(A5)-1)</f>
        <v>عرضه شانزدهم</v>
      </c>
      <c r="DJ11" s="181">
        <f>INDEX(Table5[قیمت (ریال)],MATCH(calc!DI11,Table5[شماره عرضه],0),1)</f>
        <v>22110000000</v>
      </c>
      <c r="DP11" s="174" t="s">
        <v>303</v>
      </c>
      <c r="DQ11" s="159">
        <f>IF(SUMIFS(bargiri[میزان بارگیری شده],bargiri[سال],calc!$DQ$5,bargiri[ماه],calc!$DP11)=0,NA(),SUMIFS(bargiri[میزان بارگیری شده],bargiri[سال],calc!$DQ$5,bargiri[ماه],calc!$DP11))</f>
        <v>1782220</v>
      </c>
      <c r="DR11" s="159">
        <f t="shared" si="18"/>
        <v>8812510</v>
      </c>
      <c r="DS11" s="159">
        <f>SUMIFS(bargiri[میزان بارگیری شده],bargiri[سال],calc!$DS$5,bargiri[ماه],calc!$DP11)</f>
        <v>1222105</v>
      </c>
      <c r="DT11" s="159">
        <f t="shared" si="19"/>
        <v>5000045</v>
      </c>
      <c r="DU11" s="169">
        <f t="shared" si="3"/>
        <v>1.7624861376247614</v>
      </c>
      <c r="DV11" s="225">
        <f t="shared" si="4"/>
        <v>8812510</v>
      </c>
      <c r="DW11" s="225">
        <f t="shared" si="5"/>
        <v>5000045</v>
      </c>
      <c r="DX11" s="169">
        <f t="shared" si="6"/>
        <v>1.7624861376247614</v>
      </c>
      <c r="DY11" s="224"/>
      <c r="DZ11" s="159">
        <f>IF(SUMIFS(bargiri[قیمت کل بار],bargiri[سال],calc!$DQ$5,bargiri[ماه],calc!$DP11)=0,NA(),SUMIFS(bargiri[قیمت کل بار],bargiri[سال],calc!$DQ$5,bargiri[ماه],calc!$DP11))</f>
        <v>179227114700</v>
      </c>
      <c r="EA11" s="159">
        <f t="shared" si="20"/>
        <v>773611264915</v>
      </c>
      <c r="EB11" s="159">
        <f>SUMIFS(bargiri[قیمت کل بار],bargiri[سال],calc!$DS$5,bargiri[ماه],calc!$DP11)</f>
        <v>83728673150</v>
      </c>
      <c r="EC11" s="159">
        <f t="shared" si="21"/>
        <v>325810436790</v>
      </c>
      <c r="ED11" s="169">
        <f t="shared" si="7"/>
        <v>2.3744213737806947</v>
      </c>
      <c r="EE11" s="159">
        <f t="shared" si="8"/>
        <v>773611264915</v>
      </c>
      <c r="EF11" s="159">
        <f t="shared" si="9"/>
        <v>325810436790</v>
      </c>
      <c r="EG11" s="169">
        <f t="shared" si="10"/>
        <v>2.3744213737806947</v>
      </c>
      <c r="EJ11" s="174" t="s">
        <v>303</v>
      </c>
      <c r="EK11" s="231">
        <f>IF(SUMIFS(bargiri[میزان بارگیری شده],bargiri[سال],$EK$5,bargiri[ماه],EJ11)=0,"",SUMIFS(bargiri[میزان بارگیری شده],bargiri[سال],$EK$5,bargiri[ماه],EJ11))</f>
        <v>1782220</v>
      </c>
      <c r="EL11" s="232">
        <f>IF(SUMIFS(bargiri[قیمت کل بار],bargiri[سال],$EK$5,bargiri[ماه],EJ11)=0,"",SUMIFS(bargiri[قیمت کل بار],bargiri[سال],$EK$5,bargiri[ماه],EJ11))</f>
        <v>179227114700</v>
      </c>
      <c r="EM11" s="228">
        <f t="shared" si="11"/>
        <v>1762502</v>
      </c>
      <c r="EN11" s="229">
        <f t="shared" si="12"/>
        <v>2143833.4024834568</v>
      </c>
      <c r="EO11" s="229">
        <f t="shared" si="13"/>
        <v>1381170.5975165432</v>
      </c>
      <c r="EP11" s="230">
        <f t="shared" si="14"/>
        <v>154722252983</v>
      </c>
      <c r="EQ11" s="230">
        <f t="shared" si="15"/>
        <v>193575005762.98251</v>
      </c>
      <c r="ER11" s="230">
        <f t="shared" si="16"/>
        <v>115869500203.01749</v>
      </c>
    </row>
    <row r="12" spans="1:150" x14ac:dyDescent="0.6">
      <c r="A12" s="102" t="s">
        <v>252</v>
      </c>
      <c r="K12" s="157" t="s">
        <v>307</v>
      </c>
      <c r="L12" s="157" t="s">
        <v>289</v>
      </c>
      <c r="M12" s="157" t="s">
        <v>290</v>
      </c>
      <c r="N12" s="157" t="s">
        <v>508</v>
      </c>
      <c r="O12" s="158" t="s">
        <v>235</v>
      </c>
      <c r="P12" s="158" t="s">
        <v>1</v>
      </c>
      <c r="Z12" s="161" t="s">
        <v>755</v>
      </c>
      <c r="AA12" s="319"/>
      <c r="AB12" s="241"/>
      <c r="AC12" s="319">
        <v>30000</v>
      </c>
      <c r="AD12" s="319">
        <v>0</v>
      </c>
      <c r="AE12"/>
      <c r="AN12" s="174" t="s">
        <v>102</v>
      </c>
      <c r="AO12" s="175">
        <v>2049340</v>
      </c>
      <c r="AP12" s="175">
        <v>751925</v>
      </c>
      <c r="AQ12" s="175">
        <v>66780.821917808222</v>
      </c>
      <c r="AR12" s="322">
        <v>6</v>
      </c>
      <c r="AS12" s="322">
        <v>73</v>
      </c>
      <c r="AT12" s="219">
        <v>3.9679084503772E-2</v>
      </c>
      <c r="AU12" s="176">
        <f t="shared" si="0"/>
        <v>0.63308918969033934</v>
      </c>
      <c r="AV12" s="177"/>
      <c r="AW12" s="177" t="s">
        <v>103</v>
      </c>
      <c r="AX12" s="221">
        <f>IFERROR(SUMIFS(invoice[میزان سفارش],invoice[سال],calc!$AX$5,invoice[نام مشتری],calc!AW12)+IFERROR(SUMIFS(invoice[میزان سفارش],invoice[سال],(calc!$AX$5)-1,invoice[نام مشتری],calc!AW12),0)-SUMIFS(bargiri[میزان بارگیری شده],bargiri[نام مشتری],calc!AW12,bargiri[سال],(calc!$AX$5)-1),"")</f>
        <v>1225010</v>
      </c>
      <c r="AY12" s="177"/>
      <c r="AZ12" s="177"/>
      <c r="BA12" s="168">
        <f t="shared" si="17"/>
        <v>6</v>
      </c>
      <c r="BB12" s="168" t="str">
        <f t="shared" si="1"/>
        <v>خوش نوش همدان</v>
      </c>
      <c r="BC12" s="178">
        <f>SUMIFS(invoice[میزان سفارش],invoice[سال],calc!$AX$5,invoice[نام مشتری],calc!BB12)+IFERROR(SUMIFS(invoice[میزان سفارش],invoice[سال],(calc!$AX$5)-1,invoice[نام مشتری],calc!BB12),0)-SUMIFS(bargiri[میزان بارگیری شده],bargiri[نام مشتری],calc!BB12,bargiri[سال],(calc!$AX$5)-1)</f>
        <v>1147255</v>
      </c>
      <c r="BD12" s="178">
        <f>SUMIFS(bargiri[میزان بارگیری شده],bargiri[نام مشتری],calc!BB12,bargiri[سال],(calc!$AX$5))</f>
        <v>405420</v>
      </c>
      <c r="BE12" s="176">
        <f t="shared" si="2"/>
        <v>0.35338263943064097</v>
      </c>
      <c r="BJ12" s="161" t="s">
        <v>297</v>
      </c>
      <c r="BK12" s="182">
        <v>2161055</v>
      </c>
      <c r="BL12" s="319">
        <v>137</v>
      </c>
      <c r="BO12" s="161" t="s">
        <v>297</v>
      </c>
      <c r="BP12" s="182">
        <v>2685900</v>
      </c>
      <c r="BQ12" s="319">
        <v>6</v>
      </c>
      <c r="BT12" s="174" t="s">
        <v>303</v>
      </c>
      <c r="BU12" s="184">
        <f>IF(SUMIFS(invoice[میزان سفارش],invoice[ماه],calc!BT12,invoice[سال],calc!$BV$5)=0,"",SUMIFS(invoice[میزان سفارش],invoice[ماه],calc!BT12,invoice[سال],calc!$BV$5))</f>
        <v>320000</v>
      </c>
      <c r="BV12" s="184">
        <f>IF(SUMIFS(bargiri[میزان بارگیری شده],bargiri[ماه],calc!BT12,bargiri[سال],calc!$BV$5)=0,"",SUMIFS(bargiri[میزان بارگیری شده],bargiri[ماه],calc!BT12,bargiri[سال],calc!$BV$5))</f>
        <v>1782220</v>
      </c>
      <c r="BW12" s="184">
        <f>IF(BV12="","",SUM($BU$8:BU11)-SUM($BV$8:BV11)+$BW$8)</f>
        <v>16834870</v>
      </c>
      <c r="BX12" s="168" t="str">
        <f>IF($BX$6=TRUE,IF(COUNTIFS(invoice[ماه],calc!BT12,invoice[سال],calc!$BV$5)=0,"",COUNTIFS(invoice[ماه],calc!BT12,invoice[سال],calc!$BV$5)),"")</f>
        <v/>
      </c>
      <c r="BY12" s="168" t="str">
        <f>IF($BY$6=TRUE,IF(COUNTIFS(bargiri[ماه],calc!BT12,bargiri[سال],calc!$BV$5)=0,"",COUNTIFS(bargiri[ماه],calc!BT12,bargiri[سال],calc!$BV$5)),"")</f>
        <v/>
      </c>
      <c r="BZ12" s="185">
        <f>IF(AVERAGEIFS(bargiri[فی],bargiri[ماه],calc!BT12,bargiri[سال],calc!$BV$5)=0,"",AVERAGEIFS(bargiri[فی],bargiri[ماه],calc!BT12,bargiri[سال],calc!$BV$5))</f>
        <v>107099.31818181818</v>
      </c>
      <c r="CA12" s="169">
        <f t="shared" ref="CA12:CA19" si="24">IFERROR(BV12/(BW12+BU12),NA())</f>
        <v>0.10389003239313384</v>
      </c>
      <c r="CJ12" s="161" t="s">
        <v>571</v>
      </c>
      <c r="CK12" s="319">
        <v>300000</v>
      </c>
      <c r="CL12" s="319">
        <v>142000</v>
      </c>
      <c r="CM12" s="319">
        <v>300000</v>
      </c>
      <c r="CN12" s="319">
        <v>142000</v>
      </c>
      <c r="CO12" s="189" t="str">
        <f t="shared" si="22"/>
        <v/>
      </c>
      <c r="CP12" s="190" t="str">
        <f t="shared" si="23"/>
        <v/>
      </c>
      <c r="CT12" s="174" t="s">
        <v>302</v>
      </c>
      <c r="CU12" s="180" t="str">
        <f>IFERROR(SUMPRODUCT((bargiri[ماه]=CT12)*(bargiri[سال]=$BV$5)*(bargiri[میزان بارگیری شده])*(bargiri[فی])) /SUMIFS(bargiri[میزان بارگیری شده], bargiri[ماه], CT12, bargiri[سال], calc!$BV$5), "")</f>
        <v/>
      </c>
      <c r="CV12" s="180" t="str">
        <f>IFERROR(SUMPRODUCT((bargiri[ماه]=CT12)*(bargiri[سال]=$BV$5)*(bargiri[میزان بارگیری شده])*(bargiri[فی])) /SUMIFS(bargiri[فی], bargiri[ماه], CT12, bargiri[سال], calc!$BV$5), "")</f>
        <v/>
      </c>
      <c r="DA12" s="168" t="s">
        <v>594</v>
      </c>
      <c r="DB12" s="168" t="str" vm="7">
        <f>DB9</f>
        <v>طوس قزوین</v>
      </c>
      <c r="DC12" s="168" t="s">
        <v>237</v>
      </c>
      <c r="DD12" s="168">
        <f>DB6</f>
        <v>1404</v>
      </c>
      <c r="DH12" s="159">
        <v>6</v>
      </c>
      <c r="DI12" s="159" t="str">
        <f>INDEX(Table5[شماره عرضه],calc!$DI$5+ROW(A6)-1)</f>
        <v>عرضه هفدهم</v>
      </c>
      <c r="DJ12" s="181">
        <f>INDEX(Table5[قیمت (ریال)],MATCH(calc!DI12,Table5[شماره عرضه],0),1)</f>
        <v>16750000000</v>
      </c>
      <c r="DP12" s="174" t="s">
        <v>302</v>
      </c>
      <c r="DQ12" s="159" t="e">
        <f>IF(SUMIFS(bargiri[میزان بارگیری شده],bargiri[سال],calc!$DQ$5,bargiri[ماه],calc!$DP12)=0,NA(),SUMIFS(bargiri[میزان بارگیری شده],bargiri[سال],calc!$DQ$5,bargiri[ماه],calc!$DP12))</f>
        <v>#N/A</v>
      </c>
      <c r="DR12" s="159" t="e">
        <f t="shared" si="18"/>
        <v>#N/A</v>
      </c>
      <c r="DS12" s="159">
        <f>SUMIFS(bargiri[میزان بارگیری شده],bargiri[سال],calc!$DS$5,bargiri[ماه],calc!$DP12)</f>
        <v>2227410</v>
      </c>
      <c r="DT12" s="159">
        <f t="shared" si="19"/>
        <v>7227455</v>
      </c>
      <c r="DU12" s="169" t="e">
        <f t="shared" si="3"/>
        <v>#N/A</v>
      </c>
      <c r="DV12" s="225" t="e">
        <f t="shared" si="4"/>
        <v>#N/A</v>
      </c>
      <c r="DW12" s="225">
        <f t="shared" si="5"/>
        <v>7227455</v>
      </c>
      <c r="DX12" s="169" t="e">
        <f t="shared" si="6"/>
        <v>#N/A</v>
      </c>
      <c r="DY12" s="224"/>
      <c r="DZ12" s="159" t="e">
        <f>IF(SUMIFS(bargiri[قیمت کل بار],bargiri[سال],calc!$DQ$5,bargiri[ماه],calc!$DP12)=0,NA(),SUMIFS(bargiri[قیمت کل بار],bargiri[سال],calc!$DQ$5,bargiri[ماه],calc!$DP12))</f>
        <v>#N/A</v>
      </c>
      <c r="EA12" s="159" t="e">
        <f t="shared" si="20"/>
        <v>#N/A</v>
      </c>
      <c r="EB12" s="159">
        <f>SUMIFS(bargiri[قیمت کل بار],bargiri[سال],calc!$DS$5,bargiri[ماه],calc!$DP12)</f>
        <v>150478401570</v>
      </c>
      <c r="EC12" s="159">
        <f t="shared" si="21"/>
        <v>476288838360</v>
      </c>
      <c r="ED12" s="169" t="e">
        <f t="shared" si="7"/>
        <v>#N/A</v>
      </c>
      <c r="EE12" s="159" t="e">
        <f t="shared" si="8"/>
        <v>#N/A</v>
      </c>
      <c r="EF12" s="159">
        <f t="shared" si="9"/>
        <v>476288838360</v>
      </c>
      <c r="EG12" s="169" t="e">
        <f t="shared" si="10"/>
        <v>#N/A</v>
      </c>
      <c r="EJ12" s="174" t="s">
        <v>302</v>
      </c>
      <c r="EK12" s="231" t="str">
        <f>IF(SUMIFS(bargiri[میزان بارگیری شده],bargiri[سال],$EK$5,bargiri[ماه],EJ12)=0,"",SUMIFS(bargiri[میزان بارگیری شده],bargiri[سال],$EK$5,bargiri[ماه],EJ12))</f>
        <v/>
      </c>
      <c r="EL12" s="232" t="str">
        <f>IF(SUMIFS(bargiri[قیمت کل بار],bargiri[سال],$EK$5,bargiri[ماه],EJ12)=0,"",SUMIFS(bargiri[قیمت کل بار],bargiri[سال],$EK$5,bargiri[ماه],EJ12))</f>
        <v/>
      </c>
      <c r="EM12" s="228">
        <f t="shared" si="11"/>
        <v>1762502</v>
      </c>
      <c r="EN12" s="229">
        <f t="shared" si="12"/>
        <v>2143833.4024834568</v>
      </c>
      <c r="EO12" s="229">
        <f t="shared" si="13"/>
        <v>1381170.5975165432</v>
      </c>
      <c r="EP12" s="230">
        <f t="shared" si="14"/>
        <v>154722252983</v>
      </c>
      <c r="EQ12" s="230">
        <f t="shared" si="15"/>
        <v>193575005762.98251</v>
      </c>
      <c r="ER12" s="230">
        <f t="shared" si="16"/>
        <v>115869500203.01749</v>
      </c>
    </row>
    <row r="13" spans="1:150" x14ac:dyDescent="0.6">
      <c r="A13" s="102" t="s">
        <v>253</v>
      </c>
      <c r="K13" s="159">
        <v>25</v>
      </c>
      <c r="L13" s="159">
        <f>COUNTIF(invoice[سال],calc!$BV$5)</f>
        <v>73</v>
      </c>
      <c r="M13" s="181">
        <f>COUNTIF(bargiri[سال],calc!$BV$5)</f>
        <v>579</v>
      </c>
      <c r="N13" s="181"/>
      <c r="O13" s="182">
        <f>SUMIF(bargiri[سال],year,bargiri[میزان بارگیری شده])</f>
        <v>8812510</v>
      </c>
      <c r="P13" s="191">
        <f>SUMIF(invoice[سال],year,invoice[میزان سفارش])+SUMIF(invoice[سال],$BV$5-1,invoice[میزان سفارش])-SUMIF(bargiri[سال],calc!$BV$5-1,bargiri[میزان بارگیری شده])</f>
        <v>24185160</v>
      </c>
      <c r="Z13" s="161" t="s">
        <v>730</v>
      </c>
      <c r="AA13" s="319"/>
      <c r="AB13" s="241"/>
      <c r="AC13" s="319">
        <v>20000</v>
      </c>
      <c r="AD13" s="319">
        <v>0</v>
      </c>
      <c r="AE13"/>
      <c r="AN13" s="174" t="s">
        <v>104</v>
      </c>
      <c r="AO13" s="175">
        <v>1981830</v>
      </c>
      <c r="AP13" s="175">
        <v>769710</v>
      </c>
      <c r="AQ13" s="175">
        <v>83330.638297872341</v>
      </c>
      <c r="AR13" s="322">
        <v>17</v>
      </c>
      <c r="AS13" s="322">
        <v>47</v>
      </c>
      <c r="AT13" s="219">
        <v>4.0617599007079626E-2</v>
      </c>
      <c r="AU13" s="176">
        <f t="shared" si="0"/>
        <v>0.61161653623166468</v>
      </c>
      <c r="AV13" s="177"/>
      <c r="AW13" s="177" t="s">
        <v>106</v>
      </c>
      <c r="AX13" s="221">
        <f>IFERROR(SUMIFS(invoice[میزان سفارش],invoice[سال],calc!$AX$5,invoice[نام مشتری],calc!AW13)+IFERROR(SUMIFS(invoice[میزان سفارش],invoice[سال],(calc!$AX$5)-1,invoice[نام مشتری],calc!AW13),0)-SUMIFS(bargiri[میزان بارگیری شده],bargiri[نام مشتری],calc!AW13,bargiri[سال],(calc!$AX$5)-1),"")</f>
        <v>1147255</v>
      </c>
      <c r="AY13" s="177"/>
      <c r="AZ13" s="177"/>
      <c r="BA13" s="168">
        <f t="shared" si="17"/>
        <v>7</v>
      </c>
      <c r="BB13" s="168" t="str">
        <f t="shared" si="1"/>
        <v>تولیدی گازهای طبی و صنعتی طوس سبزوار</v>
      </c>
      <c r="BC13" s="178">
        <f>SUMIFS(invoice[میزان سفارش],invoice[سال],calc!$AX$5,invoice[نام مشتری],calc!BB13)+IFERROR(SUMIFS(invoice[میزان سفارش],invoice[سال],(calc!$AX$5)-1,invoice[نام مشتری],calc!BB13),0)-SUMIFS(bargiri[میزان بارگیری شده],bargiri[نام مشتری],calc!BB13,bargiri[سال],(calc!$AX$5)-1)</f>
        <v>1212120</v>
      </c>
      <c r="BD13" s="178">
        <f>SUMIFS(bargiri[میزان بارگیری شده],bargiri[نام مشتری],calc!BB13,bargiri[سال],(calc!$AX$5))</f>
        <v>324785</v>
      </c>
      <c r="BE13" s="176">
        <f t="shared" si="2"/>
        <v>0.26794789294789295</v>
      </c>
      <c r="BJ13" s="161" t="s">
        <v>304</v>
      </c>
      <c r="BK13" s="182">
        <v>1858710</v>
      </c>
      <c r="BL13" s="319">
        <v>112</v>
      </c>
      <c r="BO13" s="161" t="s">
        <v>304</v>
      </c>
      <c r="BP13" s="182">
        <v>1629930</v>
      </c>
      <c r="BQ13" s="319">
        <v>18</v>
      </c>
      <c r="BT13" s="174" t="s">
        <v>302</v>
      </c>
      <c r="BU13" s="184" t="str">
        <f>IF(SUMIFS(invoice[میزان سفارش],invoice[ماه],calc!BT13,invoice[سال],calc!$BV$5)=0,"",SUMIFS(invoice[میزان سفارش],invoice[ماه],calc!BT13,invoice[سال],calc!$BV$5))</f>
        <v/>
      </c>
      <c r="BV13" s="184" t="str">
        <f>IF(SUMIFS(bargiri[میزان بارگیری شده],bargiri[ماه],calc!BT13,bargiri[سال],calc!$BV$5)=0,"",SUMIFS(bargiri[میزان بارگیری شده],bargiri[ماه],calc!BT13,bargiri[سال],calc!$BV$5))</f>
        <v/>
      </c>
      <c r="BW13" s="184" t="str">
        <f>IF(BV13="","",SUM($BU$8:BU12)-SUM($BV$8:BV12)+$BW$8)</f>
        <v/>
      </c>
      <c r="BX13" s="168" t="str">
        <f>IF($BX$6=TRUE,IF(COUNTIFS(invoice[ماه],calc!BT13,invoice[سال],calc!$BV$5)=0,"",COUNTIFS(invoice[ماه],calc!BT13,invoice[سال],calc!$BV$5)),"")</f>
        <v/>
      </c>
      <c r="BY13" s="168" t="str">
        <f>IF($BY$6=TRUE,IF(COUNTIFS(bargiri[ماه],calc!BT13,bargiri[سال],calc!$BV$5)=0,"",COUNTIFS(bargiri[ماه],calc!BT13,bargiri[سال],calc!$BV$5)),"")</f>
        <v/>
      </c>
      <c r="BZ13" s="185" t="e">
        <f>IF(AVERAGEIFS(bargiri[فی],bargiri[ماه],calc!BT13,bargiri[سال],calc!$BV$5)=0,"",AVERAGEIFS(bargiri[فی],bargiri[ماه],calc!BT13,bargiri[سال],calc!$BV$5))</f>
        <v>#DIV/0!</v>
      </c>
      <c r="CA13" s="169" t="e">
        <f t="shared" si="24"/>
        <v>#N/A</v>
      </c>
      <c r="CJ13" s="161" t="s">
        <v>539</v>
      </c>
      <c r="CK13" s="319">
        <v>50000</v>
      </c>
      <c r="CL13" s="319">
        <v>126000</v>
      </c>
      <c r="CM13" s="319">
        <v>50000</v>
      </c>
      <c r="CN13" s="319">
        <v>126000</v>
      </c>
      <c r="CO13" s="189" t="str">
        <f t="shared" si="22"/>
        <v/>
      </c>
      <c r="CP13" s="190" t="str">
        <f t="shared" si="23"/>
        <v/>
      </c>
      <c r="CT13" s="174" t="s">
        <v>301</v>
      </c>
      <c r="CU13" s="180" t="str">
        <f>IFERROR(SUMPRODUCT((bargiri[ماه]=CT13)*(bargiri[سال]=$BV$5)*(bargiri[میزان بارگیری شده])*(bargiri[فی])) /SUMIFS(bargiri[میزان بارگیری شده], bargiri[ماه], CT13, bargiri[سال], calc!$BV$5), "")</f>
        <v/>
      </c>
      <c r="CV13" s="180" t="str">
        <f>IFERROR(SUMPRODUCT((bargiri[ماه]=CT13)*(bargiri[سال]=$BV$5)*(bargiri[میزان بارگیری شده])*(bargiri[فی])) /SUMIFS(bargiri[فی], bargiri[ماه], CT13, bargiri[سال], calc!$BV$5), "")</f>
        <v/>
      </c>
      <c r="DA13" s="181" cm="1">
        <f t="array" ref="DA13">IFERROR(SUMPRODUCT((bargiri[نام مشتری]=DB12)*(bargiri[سال]=DD12)*(bargiri[میزان بارگیری شده])*(bargiri[فی])) /SUMIFS(bargiri[میزان بارگیری شده], bargiri[نام مشتری], DB12, bargiri[سال], DD12), "")</f>
        <v>105089.86233333092</v>
      </c>
      <c r="DP13" s="174" t="s">
        <v>301</v>
      </c>
      <c r="DQ13" s="159" t="e">
        <f>IF(SUMIFS(bargiri[میزان بارگیری شده],bargiri[سال],calc!$DQ$5,bargiri[ماه],calc!$DP13)=0,NA(),SUMIFS(bargiri[میزان بارگیری شده],bargiri[سال],calc!$DQ$5,bargiri[ماه],calc!$DP13))</f>
        <v>#N/A</v>
      </c>
      <c r="DR13" s="159" t="e">
        <f t="shared" si="18"/>
        <v>#N/A</v>
      </c>
      <c r="DS13" s="159">
        <f>SUMIFS(bargiri[میزان بارگیری شده],bargiri[سال],calc!$DS$5,bargiri[ماه],calc!$DP13)</f>
        <v>2068095</v>
      </c>
      <c r="DT13" s="159">
        <f t="shared" si="19"/>
        <v>9295550</v>
      </c>
      <c r="DU13" s="169" t="e">
        <f t="shared" si="3"/>
        <v>#N/A</v>
      </c>
      <c r="DV13" s="225" t="e">
        <f t="shared" si="4"/>
        <v>#N/A</v>
      </c>
      <c r="DW13" s="225">
        <f t="shared" si="5"/>
        <v>9295550</v>
      </c>
      <c r="DX13" s="169" t="e">
        <f t="shared" si="6"/>
        <v>#N/A</v>
      </c>
      <c r="DY13" s="224"/>
      <c r="DZ13" s="159" t="e">
        <f>IF(SUMIFS(bargiri[قیمت کل بار],bargiri[سال],calc!$DQ$5,bargiri[ماه],calc!$DP13)=0,NA(),SUMIFS(bargiri[قیمت کل بار],bargiri[سال],calc!$DQ$5,bargiri[ماه],calc!$DP13))</f>
        <v>#N/A</v>
      </c>
      <c r="EA13" s="159" t="e">
        <f t="shared" si="20"/>
        <v>#N/A</v>
      </c>
      <c r="EB13" s="159">
        <f>SUMIFS(bargiri[قیمت کل بار],bargiri[سال],calc!$DS$5,bargiri[ماه],calc!$DP13)</f>
        <v>141108069905</v>
      </c>
      <c r="EC13" s="159">
        <f t="shared" si="21"/>
        <v>617396908265</v>
      </c>
      <c r="ED13" s="169" t="e">
        <f t="shared" si="7"/>
        <v>#N/A</v>
      </c>
      <c r="EE13" s="159" t="e">
        <f t="shared" si="8"/>
        <v>#N/A</v>
      </c>
      <c r="EF13" s="159">
        <f t="shared" si="9"/>
        <v>617396908265</v>
      </c>
      <c r="EG13" s="169" t="e">
        <f t="shared" si="10"/>
        <v>#N/A</v>
      </c>
      <c r="EJ13" s="174" t="s">
        <v>301</v>
      </c>
      <c r="EK13" s="231" t="str">
        <f>IF(SUMIFS(bargiri[میزان بارگیری شده],bargiri[سال],$EK$5,bargiri[ماه],EJ13)=0,"",SUMIFS(bargiri[میزان بارگیری شده],bargiri[سال],$EK$5,bargiri[ماه],EJ13))</f>
        <v/>
      </c>
      <c r="EL13" s="232" t="str">
        <f>IF(SUMIFS(bargiri[قیمت کل بار],bargiri[سال],$EK$5,bargiri[ماه],EJ13)=0,"",SUMIFS(bargiri[قیمت کل بار],bargiri[سال],$EK$5,bargiri[ماه],EJ13))</f>
        <v/>
      </c>
      <c r="EM13" s="228">
        <f t="shared" si="11"/>
        <v>1762502</v>
      </c>
      <c r="EN13" s="229">
        <f t="shared" si="12"/>
        <v>2143833.4024834568</v>
      </c>
      <c r="EO13" s="229">
        <f t="shared" si="13"/>
        <v>1381170.5975165432</v>
      </c>
      <c r="EP13" s="230">
        <f t="shared" si="14"/>
        <v>154722252983</v>
      </c>
      <c r="EQ13" s="230">
        <f t="shared" si="15"/>
        <v>193575005762.98251</v>
      </c>
      <c r="ER13" s="230">
        <f t="shared" si="16"/>
        <v>115869500203.01749</v>
      </c>
    </row>
    <row r="14" spans="1:150" x14ac:dyDescent="0.6">
      <c r="A14" s="102" t="s">
        <v>105</v>
      </c>
      <c r="Z14" s="161" t="s">
        <v>656</v>
      </c>
      <c r="AA14" s="319"/>
      <c r="AB14" s="241"/>
      <c r="AC14" s="319">
        <v>40000</v>
      </c>
      <c r="AD14" s="319">
        <v>0</v>
      </c>
      <c r="AE14"/>
      <c r="AN14" s="174" t="s">
        <v>117</v>
      </c>
      <c r="AO14" s="175">
        <v>1872300</v>
      </c>
      <c r="AP14" s="175">
        <v>887195</v>
      </c>
      <c r="AQ14" s="175">
        <v>65848.484848484848</v>
      </c>
      <c r="AR14" s="322">
        <v>15</v>
      </c>
      <c r="AS14" s="322">
        <v>66</v>
      </c>
      <c r="AT14" s="219">
        <v>4.6817282809221664E-2</v>
      </c>
      <c r="AU14" s="176">
        <f t="shared" si="0"/>
        <v>0.52614698499172141</v>
      </c>
      <c r="AV14" s="177"/>
      <c r="AW14" s="177" t="s">
        <v>104</v>
      </c>
      <c r="AX14" s="221">
        <f>IFERROR(SUMIFS(invoice[میزان سفارش],invoice[سال],calc!$AX$5,invoice[نام مشتری],calc!AW14)+IFERROR(SUMIFS(invoice[میزان سفارش],invoice[سال],(calc!$AX$5)-1,invoice[نام مشتری],calc!AW14),0)-SUMIFS(bargiri[میزان بارگیری شده],bargiri[نام مشتری],calc!AW14,bargiri[سال],(calc!$AX$5)-1),"")</f>
        <v>1212120</v>
      </c>
      <c r="AY14" s="177"/>
      <c r="AZ14" s="177"/>
      <c r="BA14" s="168">
        <f t="shared" si="17"/>
        <v>8</v>
      </c>
      <c r="BB14" s="168" t="str">
        <f t="shared" si="1"/>
        <v>پارس اکسیر البرز شمالی</v>
      </c>
      <c r="BC14" s="178">
        <f>SUMIFS(invoice[میزان سفارش],invoice[سال],calc!$AX$5,invoice[نام مشتری],calc!BB14)+IFERROR(SUMIFS(invoice[میزان سفارش],invoice[سال],(calc!$AX$5)-1,invoice[نام مشتری],calc!BB14),0)-SUMIFS(bargiri[میزان بارگیری شده],bargiri[نام مشتری],calc!BB14,bargiri[سال],(calc!$AX$5)-1)</f>
        <v>997975</v>
      </c>
      <c r="BD14" s="178">
        <f>SUMIFS(bargiri[میزان بارگیری شده],bargiri[نام مشتری],calc!BB14,bargiri[سال],(calc!$AX$5))</f>
        <v>444585</v>
      </c>
      <c r="BE14" s="176">
        <f t="shared" si="2"/>
        <v>0.44548711140058617</v>
      </c>
      <c r="BJ14" s="161" t="s">
        <v>311</v>
      </c>
      <c r="BK14" s="182">
        <v>154150</v>
      </c>
      <c r="BL14" s="319">
        <v>10</v>
      </c>
      <c r="BO14" s="161" t="s">
        <v>311</v>
      </c>
      <c r="BP14" s="182">
        <v>2323430</v>
      </c>
      <c r="BQ14" s="319">
        <v>16</v>
      </c>
      <c r="BR14" s="159">
        <v>1</v>
      </c>
      <c r="BT14" s="174" t="s">
        <v>301</v>
      </c>
      <c r="BU14" s="184" t="str">
        <f>IF(SUMIFS(invoice[میزان سفارش],invoice[ماه],calc!BT14,invoice[سال],calc!$BV$5)=0,"",SUMIFS(invoice[میزان سفارش],invoice[ماه],calc!BT14,invoice[سال],calc!$BV$5))</f>
        <v/>
      </c>
      <c r="BV14" s="184" t="str">
        <f>IF(SUMIFS(bargiri[میزان بارگیری شده],bargiri[ماه],calc!BT14,bargiri[سال],calc!$BV$5)=0,"",SUMIFS(bargiri[میزان بارگیری شده],bargiri[ماه],calc!BT14,bargiri[سال],calc!$BV$5))</f>
        <v/>
      </c>
      <c r="BW14" s="184" t="str">
        <f>IF(BV14="","",SUM($BU$8:BU13)-SUM($BV$8:BV13)+$BW$8)</f>
        <v/>
      </c>
      <c r="BX14" s="168" t="str">
        <f>IF($BX$6=TRUE,IF(COUNTIFS(invoice[ماه],calc!BT14,invoice[سال],calc!$BV$5)=0,"",COUNTIFS(invoice[ماه],calc!BT14,invoice[سال],calc!$BV$5)),"")</f>
        <v/>
      </c>
      <c r="BY14" s="168" t="str">
        <f>IF($BY$6=TRUE,IF(COUNTIFS(bargiri[ماه],calc!BT14,bargiri[سال],calc!$BV$5)=0,"",COUNTIFS(bargiri[ماه],calc!BT14,bargiri[سال],calc!$BV$5)),"")</f>
        <v/>
      </c>
      <c r="BZ14" s="185" t="e">
        <f>IF(AVERAGEIFS(bargiri[فی],bargiri[ماه],calc!BT14,bargiri[سال],calc!$BV$5)=0,"",AVERAGEIFS(bargiri[فی],bargiri[ماه],calc!BT14,bargiri[سال],calc!$BV$5))</f>
        <v>#DIV/0!</v>
      </c>
      <c r="CA14" s="169" t="e">
        <f t="shared" si="24"/>
        <v>#N/A</v>
      </c>
      <c r="CJ14" s="161" t="s">
        <v>542</v>
      </c>
      <c r="CK14" s="319">
        <v>65000</v>
      </c>
      <c r="CL14" s="319">
        <v>80000</v>
      </c>
      <c r="CM14" s="319"/>
      <c r="CN14" s="319"/>
      <c r="CO14" s="189">
        <f t="shared" si="22"/>
        <v>65000</v>
      </c>
      <c r="CP14" s="190">
        <f t="shared" si="23"/>
        <v>80000</v>
      </c>
      <c r="CT14" s="174" t="s">
        <v>300</v>
      </c>
      <c r="CU14" s="180" t="str">
        <f>IFERROR(SUMPRODUCT((bargiri[ماه]=CT14)*(bargiri[سال]=$BV$5)*(bargiri[میزان بارگیری شده])*(bargiri[فی])) /SUMIFS(bargiri[میزان بارگیری شده], bargiri[ماه], CT14, bargiri[سال], calc!$BV$5), "")</f>
        <v/>
      </c>
      <c r="CV14" s="180" t="str">
        <f>IFERROR(SUMPRODUCT((bargiri[ماه]=CT14)*(bargiri[سال]=$BV$5)*(bargiri[میزان بارگیری شده])*(bargiri[فی])) /SUMIFS(bargiri[فی], bargiri[ماه], CT14, bargiri[سال], calc!$BV$5), "")</f>
        <v/>
      </c>
      <c r="DP14" s="174" t="s">
        <v>300</v>
      </c>
      <c r="DQ14" s="159" t="e">
        <f>IF(SUMIFS(bargiri[میزان بارگیری شده],bargiri[سال],calc!$DQ$5,bargiri[ماه],calc!$DP14)=0,NA(),SUMIFS(bargiri[میزان بارگیری شده],bargiri[سال],calc!$DQ$5,bargiri[ماه],calc!$DP14))</f>
        <v>#N/A</v>
      </c>
      <c r="DR14" s="159" t="e">
        <f t="shared" si="18"/>
        <v>#N/A</v>
      </c>
      <c r="DS14" s="159">
        <f>SUMIFS(bargiri[میزان بارگیری شده],bargiri[سال],calc!$DS$5,bargiri[ماه],calc!$DP14)</f>
        <v>1837830</v>
      </c>
      <c r="DT14" s="159">
        <f t="shared" si="19"/>
        <v>11133380</v>
      </c>
      <c r="DU14" s="169" t="e">
        <f t="shared" si="3"/>
        <v>#N/A</v>
      </c>
      <c r="DV14" s="225" t="e">
        <f t="shared" si="4"/>
        <v>#N/A</v>
      </c>
      <c r="DW14" s="225">
        <f t="shared" si="5"/>
        <v>11133380</v>
      </c>
      <c r="DX14" s="169" t="e">
        <f t="shared" si="6"/>
        <v>#N/A</v>
      </c>
      <c r="DY14" s="224"/>
      <c r="DZ14" s="159" t="e">
        <f>IF(SUMIFS(bargiri[قیمت کل بار],bargiri[سال],calc!$DQ$5,bargiri[ماه],calc!$DP14)=0,NA(),SUMIFS(bargiri[قیمت کل بار],bargiri[سال],calc!$DQ$5,bargiri[ماه],calc!$DP14))</f>
        <v>#N/A</v>
      </c>
      <c r="EA14" s="159" t="e">
        <f t="shared" si="20"/>
        <v>#N/A</v>
      </c>
      <c r="EB14" s="159">
        <f>SUMIFS(bargiri[قیمت کل بار],bargiri[سال],calc!$DS$5,bargiri[ماه],calc!$DP14)</f>
        <v>125298374965</v>
      </c>
      <c r="EC14" s="159">
        <f t="shared" si="21"/>
        <v>742695283230</v>
      </c>
      <c r="ED14" s="169" t="e">
        <f t="shared" si="7"/>
        <v>#N/A</v>
      </c>
      <c r="EE14" s="159" t="e">
        <f t="shared" si="8"/>
        <v>#N/A</v>
      </c>
      <c r="EF14" s="159">
        <f t="shared" si="9"/>
        <v>742695283230</v>
      </c>
      <c r="EG14" s="169" t="e">
        <f t="shared" si="10"/>
        <v>#N/A</v>
      </c>
      <c r="EJ14" s="174" t="s">
        <v>300</v>
      </c>
      <c r="EK14" s="231" t="str">
        <f>IF(SUMIFS(bargiri[میزان بارگیری شده],bargiri[سال],$EK$5,bargiri[ماه],EJ14)=0,"",SUMIFS(bargiri[میزان بارگیری شده],bargiri[سال],$EK$5,bargiri[ماه],EJ14))</f>
        <v/>
      </c>
      <c r="EL14" s="232" t="str">
        <f>IF(SUMIFS(bargiri[قیمت کل بار],bargiri[سال],$EK$5,bargiri[ماه],EJ14)=0,"",SUMIFS(bargiri[قیمت کل بار],bargiri[سال],$EK$5,bargiri[ماه],EJ14))</f>
        <v/>
      </c>
      <c r="EM14" s="228">
        <f t="shared" si="11"/>
        <v>1762502</v>
      </c>
      <c r="EN14" s="229">
        <f t="shared" si="12"/>
        <v>2143833.4024834568</v>
      </c>
      <c r="EO14" s="229">
        <f t="shared" si="13"/>
        <v>1381170.5975165432</v>
      </c>
      <c r="EP14" s="230">
        <f t="shared" si="14"/>
        <v>154722252983</v>
      </c>
      <c r="EQ14" s="230">
        <f t="shared" si="15"/>
        <v>193575005762.98251</v>
      </c>
      <c r="ER14" s="230">
        <f t="shared" si="16"/>
        <v>115869500203.01749</v>
      </c>
    </row>
    <row r="15" spans="1:150" x14ac:dyDescent="0.6">
      <c r="A15" s="101" t="s">
        <v>106</v>
      </c>
      <c r="Z15" s="161" t="s">
        <v>750</v>
      </c>
      <c r="AA15" s="319"/>
      <c r="AB15" s="241"/>
      <c r="AC15" s="319">
        <v>20000</v>
      </c>
      <c r="AD15" s="319">
        <v>0</v>
      </c>
      <c r="AE15"/>
      <c r="AN15" s="174" t="s">
        <v>107</v>
      </c>
      <c r="AO15" s="175">
        <v>1837365</v>
      </c>
      <c r="AP15" s="175">
        <v>1454650</v>
      </c>
      <c r="AQ15" s="175">
        <v>70052.631578947374</v>
      </c>
      <c r="AR15" s="322">
        <v>2</v>
      </c>
      <c r="AS15" s="322">
        <v>76</v>
      </c>
      <c r="AT15" s="219">
        <v>7.6761884860075055E-2</v>
      </c>
      <c r="AU15" s="176">
        <f t="shared" si="0"/>
        <v>0.20829557545724453</v>
      </c>
      <c r="AV15" s="177"/>
      <c r="AW15" s="177" t="s">
        <v>99</v>
      </c>
      <c r="AX15" s="221">
        <f>IFERROR(SUMIFS(invoice[میزان سفارش],invoice[سال],calc!$AX$5,invoice[نام مشتری],calc!AW15)+IFERROR(SUMIFS(invoice[میزان سفارش],invoice[سال],(calc!$AX$5)-1,invoice[نام مشتری],calc!AW15),0)-SUMIFS(bargiri[میزان بارگیری شده],bargiri[نام مشتری],calc!AW15,bargiri[سال],(calc!$AX$5)-1),"")</f>
        <v>997975</v>
      </c>
      <c r="AY15" s="177"/>
      <c r="AZ15" s="177"/>
      <c r="BA15" s="168">
        <f t="shared" si="17"/>
        <v>9</v>
      </c>
      <c r="BB15" s="168" t="str">
        <f t="shared" si="1"/>
        <v>اکسیژن ارومیه گاز</v>
      </c>
      <c r="BC15" s="178">
        <f>SUMIFS(invoice[میزان سفارش],invoice[سال],calc!$AX$5,invoice[نام مشتری],calc!BB15)+IFERROR(SUMIFS(invoice[میزان سفارش],invoice[سال],(calc!$AX$5)-1,invoice[نام مشتری],calc!BB15),0)-SUMIFS(bargiri[میزان بارگیری شده],bargiri[نام مشتری],calc!BB15,bargiri[سال],(calc!$AX$5)-1)</f>
        <v>1007595</v>
      </c>
      <c r="BD15" s="178">
        <f>SUMIFS(bargiri[میزان بارگیری شده],bargiri[نام مشتری],calc!BB15,bargiri[سال],(calc!$AX$5))</f>
        <v>353875</v>
      </c>
      <c r="BE15" s="176">
        <f t="shared" si="2"/>
        <v>0.351207578441735</v>
      </c>
      <c r="BJ15" s="161" t="s">
        <v>298</v>
      </c>
      <c r="BK15" s="182">
        <v>2312705</v>
      </c>
      <c r="BL15" s="319">
        <v>145</v>
      </c>
      <c r="BO15" s="161" t="s">
        <v>298</v>
      </c>
      <c r="BP15" s="182">
        <v>1232735</v>
      </c>
      <c r="BQ15" s="319">
        <v>9</v>
      </c>
      <c r="BT15" s="174" t="s">
        <v>300</v>
      </c>
      <c r="BU15" s="184" t="str">
        <f>IF(SUMIFS(invoice[میزان سفارش],invoice[ماه],calc!BT15,invoice[سال],calc!$BV$5)=0,"",SUMIFS(invoice[میزان سفارش],invoice[ماه],calc!BT15,invoice[سال],calc!$BV$5))</f>
        <v/>
      </c>
      <c r="BV15" s="184" t="str">
        <f>IF(SUMIFS(bargiri[میزان بارگیری شده],bargiri[ماه],calc!BT15,bargiri[سال],calc!$BV$5)=0,"",SUMIFS(bargiri[میزان بارگیری شده],bargiri[ماه],calc!BT15,bargiri[سال],calc!$BV$5))</f>
        <v/>
      </c>
      <c r="BW15" s="184" t="str">
        <f>IF(BV15="","",SUM($BU$8:BU14)-SUM($BV$8:BV14)+$BW$8)</f>
        <v/>
      </c>
      <c r="BX15" s="168" t="str">
        <f>IF($BX$6=TRUE,IF(COUNTIFS(invoice[ماه],calc!BT15,invoice[سال],calc!$BV$5)=0,"",COUNTIFS(invoice[ماه],calc!BT15,invoice[سال],calc!$BV$5)),"")</f>
        <v/>
      </c>
      <c r="BY15" s="168" t="str">
        <f>IF($BY$6=TRUE,IF(COUNTIFS(bargiri[ماه],calc!BT15,bargiri[سال],calc!$BV$5)=0,"",COUNTIFS(bargiri[ماه],calc!BT15,bargiri[سال],calc!$BV$5)),"")</f>
        <v/>
      </c>
      <c r="BZ15" s="185" t="e">
        <f>IF(AVERAGEIFS(bargiri[فی],bargiri[ماه],calc!BT15,bargiri[سال],calc!$BV$5)=0,"",AVERAGEIFS(bargiri[فی],bargiri[ماه],calc!BT15,bargiri[سال],calc!$BV$5))</f>
        <v>#DIV/0!</v>
      </c>
      <c r="CA15" s="169" t="e">
        <f t="shared" si="24"/>
        <v>#N/A</v>
      </c>
      <c r="CJ15" s="161" t="s">
        <v>71</v>
      </c>
      <c r="CK15" s="319">
        <v>50000</v>
      </c>
      <c r="CL15" s="319">
        <v>83800</v>
      </c>
      <c r="CM15" s="319">
        <v>50000</v>
      </c>
      <c r="CN15" s="319">
        <v>83800</v>
      </c>
      <c r="CO15" s="189" t="str">
        <f t="shared" si="22"/>
        <v/>
      </c>
      <c r="CP15" s="190" t="str">
        <f t="shared" si="23"/>
        <v/>
      </c>
      <c r="CT15" s="174" t="s">
        <v>299</v>
      </c>
      <c r="CU15" s="180" t="str">
        <f>IFERROR(SUMPRODUCT((bargiri[ماه]=CT15)*(bargiri[سال]=$BV$5)*(bargiri[میزان بارگیری شده])*(bargiri[فی])) /SUMIFS(bargiri[میزان بارگیری شده], bargiri[ماه], CT15, bargiri[سال], calc!$BV$5), "")</f>
        <v/>
      </c>
      <c r="CV15" s="180" t="str">
        <f>IFERROR(SUMPRODUCT((bargiri[ماه]=CT15)*(bargiri[سال]=$BV$5)*(bargiri[میزان بارگیری شده])*(bargiri[فی])) /SUMIFS(bargiri[فی], bargiri[ماه], CT15, bargiri[سال], calc!$BV$5), "")</f>
        <v/>
      </c>
      <c r="DA15" s="168" t="s">
        <v>594</v>
      </c>
      <c r="DB15" s="168" t="str" vm="7">
        <f>DB12</f>
        <v>طوس قزوین</v>
      </c>
      <c r="DC15" s="168" t="s">
        <v>237</v>
      </c>
      <c r="DD15" s="168">
        <f>DD12</f>
        <v>1404</v>
      </c>
      <c r="DP15" s="174" t="s">
        <v>299</v>
      </c>
      <c r="DQ15" s="159" t="e">
        <f>IF(SUMIFS(bargiri[میزان بارگیری شده],bargiri[سال],calc!$DQ$5,bargiri[ماه],calc!$DP15)=0,NA(),SUMIFS(bargiri[میزان بارگیری شده],bargiri[سال],calc!$DQ$5,bargiri[ماه],calc!$DP15))</f>
        <v>#N/A</v>
      </c>
      <c r="DR15" s="159" t="e">
        <f t="shared" si="18"/>
        <v>#N/A</v>
      </c>
      <c r="DS15" s="159">
        <f>SUMIFS(bargiri[میزان بارگیری شده],bargiri[سال],calc!$DS$5,bargiri[ماه],calc!$DP15)</f>
        <v>1643255</v>
      </c>
      <c r="DT15" s="159">
        <f t="shared" si="19"/>
        <v>12776635</v>
      </c>
      <c r="DU15" s="169" t="e">
        <f t="shared" si="3"/>
        <v>#N/A</v>
      </c>
      <c r="DV15" s="225" t="e">
        <f t="shared" si="4"/>
        <v>#N/A</v>
      </c>
      <c r="DW15" s="225">
        <f t="shared" si="5"/>
        <v>12776635</v>
      </c>
      <c r="DX15" s="169" t="e">
        <f t="shared" si="6"/>
        <v>#N/A</v>
      </c>
      <c r="DY15" s="224"/>
      <c r="DZ15" s="159" t="e">
        <f>IF(SUMIFS(bargiri[قیمت کل بار],bargiri[سال],calc!$DQ$5,bargiri[ماه],calc!$DP15)=0,NA(),SUMIFS(bargiri[قیمت کل بار],bargiri[سال],calc!$DQ$5,bargiri[ماه],calc!$DP15))</f>
        <v>#N/A</v>
      </c>
      <c r="EA15" s="159" t="e">
        <f t="shared" si="20"/>
        <v>#N/A</v>
      </c>
      <c r="EB15" s="159">
        <f>SUMIFS(bargiri[قیمت کل بار],bargiri[سال],calc!$DS$5,bargiri[ماه],calc!$DP15)</f>
        <v>109913781340</v>
      </c>
      <c r="EC15" s="159">
        <f t="shared" si="21"/>
        <v>852609064570</v>
      </c>
      <c r="ED15" s="169" t="e">
        <f t="shared" si="7"/>
        <v>#N/A</v>
      </c>
      <c r="EE15" s="159" t="e">
        <f t="shared" si="8"/>
        <v>#N/A</v>
      </c>
      <c r="EF15" s="159">
        <f t="shared" si="9"/>
        <v>852609064570</v>
      </c>
      <c r="EG15" s="169" t="e">
        <f t="shared" si="10"/>
        <v>#N/A</v>
      </c>
      <c r="EJ15" s="174" t="s">
        <v>299</v>
      </c>
      <c r="EK15" s="231" t="str">
        <f>IF(SUMIFS(bargiri[میزان بارگیری شده],bargiri[سال],$EK$5,bargiri[ماه],EJ15)=0,"",SUMIFS(bargiri[میزان بارگیری شده],bargiri[سال],$EK$5,bargiri[ماه],EJ15))</f>
        <v/>
      </c>
      <c r="EL15" s="232" t="str">
        <f>IF(SUMIFS(bargiri[قیمت کل بار],bargiri[سال],$EK$5,bargiri[ماه],EJ15)=0,"",SUMIFS(bargiri[قیمت کل بار],bargiri[سال],$EK$5,bargiri[ماه],EJ15))</f>
        <v/>
      </c>
      <c r="EM15" s="228">
        <f t="shared" si="11"/>
        <v>1762502</v>
      </c>
      <c r="EN15" s="229">
        <f t="shared" si="12"/>
        <v>2143833.4024834568</v>
      </c>
      <c r="EO15" s="229">
        <f t="shared" si="13"/>
        <v>1381170.5975165432</v>
      </c>
      <c r="EP15" s="230">
        <f t="shared" si="14"/>
        <v>154722252983</v>
      </c>
      <c r="EQ15" s="230">
        <f t="shared" si="15"/>
        <v>193575005762.98251</v>
      </c>
      <c r="ER15" s="230">
        <f t="shared" si="16"/>
        <v>115869500203.01749</v>
      </c>
    </row>
    <row r="16" spans="1:150" x14ac:dyDescent="0.6">
      <c r="A16" s="101" t="s">
        <v>107</v>
      </c>
      <c r="Z16" s="161" t="s">
        <v>572</v>
      </c>
      <c r="AA16" s="319">
        <v>142000</v>
      </c>
      <c r="AB16" s="241">
        <v>233990</v>
      </c>
      <c r="AC16" s="319">
        <v>1000000</v>
      </c>
      <c r="AD16" s="319">
        <v>0.23399</v>
      </c>
      <c r="AE16"/>
      <c r="AN16" s="174" t="s">
        <v>98</v>
      </c>
      <c r="AO16" s="175">
        <v>1793860</v>
      </c>
      <c r="AP16" s="175">
        <v>786265</v>
      </c>
      <c r="AQ16" s="175">
        <v>76738.5</v>
      </c>
      <c r="AR16" s="322">
        <v>20</v>
      </c>
      <c r="AS16" s="322">
        <v>40</v>
      </c>
      <c r="AT16" s="219">
        <v>4.1491206406700523E-2</v>
      </c>
      <c r="AU16" s="176">
        <f t="shared" si="0"/>
        <v>0.5616909903782904</v>
      </c>
      <c r="AV16" s="177"/>
      <c r="AW16" s="177" t="s">
        <v>98</v>
      </c>
      <c r="AX16" s="221">
        <f>IFERROR(SUMIFS(invoice[میزان سفارش],invoice[سال],calc!$AX$5,invoice[نام مشتری],calc!AW16)+IFERROR(SUMIFS(invoice[میزان سفارش],invoice[سال],(calc!$AX$5)-1,invoice[نام مشتری],calc!AW16),0)-SUMIFS(bargiri[میزان بارگیری شده],bargiri[نام مشتری],calc!AW16,bargiri[سال],(calc!$AX$5)-1),"")</f>
        <v>1007595</v>
      </c>
      <c r="AY16" s="177"/>
      <c r="AZ16" s="177"/>
      <c r="BA16" s="168">
        <f t="shared" si="17"/>
        <v>10</v>
      </c>
      <c r="BB16" s="168" t="str">
        <f t="shared" si="1"/>
        <v>گاز اکسیژن طوس</v>
      </c>
      <c r="BC16" s="178">
        <f>SUMIFS(invoice[میزان سفارش],invoice[سال],calc!$AX$5,invoice[نام مشتری],calc!BB16)+IFERROR(SUMIFS(invoice[میزان سفارش],invoice[سال],(calc!$AX$5)-1,invoice[نام مشتری],calc!BB16),0)-SUMIFS(bargiri[میزان بارگیری شده],bargiri[نام مشتری],calc!BB16,bargiri[سال],(calc!$AX$5)-1)</f>
        <v>911920</v>
      </c>
      <c r="BD16" s="178">
        <f>SUMIFS(bargiri[میزان بارگیری شده],bargiri[نام مشتری],calc!BB16,bargiri[سال],(calc!$AX$5))</f>
        <v>128990</v>
      </c>
      <c r="BE16" s="176">
        <f t="shared" si="2"/>
        <v>0.14144881129923678</v>
      </c>
      <c r="BJ16" s="161" t="s">
        <v>302</v>
      </c>
      <c r="BK16" s="182">
        <v>2227410</v>
      </c>
      <c r="BL16" s="319">
        <v>126</v>
      </c>
      <c r="BO16" s="161" t="s">
        <v>302</v>
      </c>
      <c r="BP16" s="182">
        <v>3337365</v>
      </c>
      <c r="BQ16" s="319">
        <v>4</v>
      </c>
      <c r="BT16" s="174" t="s">
        <v>299</v>
      </c>
      <c r="BU16" s="184" t="str">
        <f>IF(SUMIFS(invoice[میزان سفارش],invoice[ماه],calc!BT16,invoice[سال],calc!$BV$5)=0,"",SUMIFS(invoice[میزان سفارش],invoice[ماه],calc!BT16,invoice[سال],calc!$BV$5))</f>
        <v/>
      </c>
      <c r="BV16" s="184" t="str">
        <f>IF(SUMIFS(bargiri[میزان بارگیری شده],bargiri[ماه],calc!BT16,bargiri[سال],calc!$BV$5)=0,"",SUMIFS(bargiri[میزان بارگیری شده],bargiri[ماه],calc!BT16,bargiri[سال],calc!$BV$5))</f>
        <v/>
      </c>
      <c r="BW16" s="184" t="str">
        <f>IF(BV16="","",SUM($BU$8:BU15)-SUM($BV$8:BV15)+$BW$8)</f>
        <v/>
      </c>
      <c r="BX16" s="168" t="str">
        <f>IF($BX$6=TRUE,IF(COUNTIFS(invoice[ماه],calc!BT16,invoice[سال],calc!$BV$5)=0,"",COUNTIFS(invoice[ماه],calc!BT16,invoice[سال],calc!$BV$5)),"")</f>
        <v/>
      </c>
      <c r="BY16" s="168" t="str">
        <f>IF($BY$6=TRUE,IF(COUNTIFS(bargiri[ماه],calc!BT16,bargiri[سال],calc!$BV$5)=0,"",COUNTIFS(bargiri[ماه],calc!BT16,bargiri[سال],calc!$BV$5)),"")</f>
        <v/>
      </c>
      <c r="BZ16" s="185" t="e">
        <f>IF(AVERAGEIFS(bargiri[فی],bargiri[ماه],calc!BT16,bargiri[سال],calc!$BV$5)=0,"",AVERAGEIFS(bargiri[فی],bargiri[ماه],calc!BT16,bargiri[سال],calc!$BV$5))</f>
        <v>#DIV/0!</v>
      </c>
      <c r="CA16" s="169" t="e">
        <f t="shared" si="24"/>
        <v>#N/A</v>
      </c>
      <c r="CJ16" s="161" t="s">
        <v>656</v>
      </c>
      <c r="CK16" s="319">
        <v>40000</v>
      </c>
      <c r="CL16" s="319">
        <v>201000</v>
      </c>
      <c r="CM16" s="319"/>
      <c r="CN16" s="319"/>
      <c r="CO16" s="189">
        <f t="shared" si="22"/>
        <v>40000</v>
      </c>
      <c r="CP16" s="190">
        <f t="shared" si="23"/>
        <v>201000</v>
      </c>
      <c r="CT16" s="174" t="s">
        <v>298</v>
      </c>
      <c r="CU16" s="180" t="str">
        <f>IFERROR(SUMPRODUCT((bargiri[ماه]=CT16)*(bargiri[سال]=$BV$5)*(bargiri[میزان بارگیری شده])*(bargiri[فی])) /SUMIFS(bargiri[میزان بارگیری شده], bargiri[ماه], CT16, bargiri[سال], calc!$BV$5), "")</f>
        <v/>
      </c>
      <c r="CV16" s="180" t="str">
        <f>IFERROR(SUMPRODUCT((bargiri[ماه]=CT16)*(bargiri[سال]=$BV$5)*(bargiri[میزان بارگیری شده])*(bargiri[فی])) /SUMIFS(bargiri[فی], bargiri[ماه], CT16, bargiri[سال], calc!$BV$5), "")</f>
        <v/>
      </c>
      <c r="DA16" s="168" t="s">
        <v>236</v>
      </c>
      <c r="DB16" s="168" t="s">
        <v>511</v>
      </c>
      <c r="DP16" s="174" t="s">
        <v>298</v>
      </c>
      <c r="DQ16" s="159" t="e">
        <f>IF(SUMIFS(bargiri[میزان بارگیری شده],bargiri[سال],calc!$DQ$5,bargiri[ماه],calc!$DP16)=0,NA(),SUMIFS(bargiri[میزان بارگیری شده],bargiri[سال],calc!$DQ$5,bargiri[ماه],calc!$DP16))</f>
        <v>#N/A</v>
      </c>
      <c r="DR16" s="159" t="e">
        <f t="shared" si="18"/>
        <v>#N/A</v>
      </c>
      <c r="DS16" s="159">
        <f>SUMIFS(bargiri[میزان بارگیری شده],bargiri[سال],calc!$DS$5,bargiri[ماه],calc!$DP16)</f>
        <v>2312705</v>
      </c>
      <c r="DT16" s="159">
        <f t="shared" si="19"/>
        <v>15089340</v>
      </c>
      <c r="DU16" s="169" t="e">
        <f t="shared" si="3"/>
        <v>#N/A</v>
      </c>
      <c r="DV16" s="225" t="e">
        <f t="shared" si="4"/>
        <v>#N/A</v>
      </c>
      <c r="DW16" s="225">
        <f t="shared" si="5"/>
        <v>15089340</v>
      </c>
      <c r="DX16" s="169" t="e">
        <f t="shared" si="6"/>
        <v>#N/A</v>
      </c>
      <c r="DY16" s="224"/>
      <c r="DZ16" s="159" t="e">
        <f>IF(SUMIFS(bargiri[قیمت کل بار],bargiri[سال],calc!$DQ$5,bargiri[ماه],calc!$DP16)=0,NA(),SUMIFS(bargiri[قیمت کل بار],bargiri[سال],calc!$DQ$5,bargiri[ماه],calc!$DP16))</f>
        <v>#N/A</v>
      </c>
      <c r="EA16" s="159" t="e">
        <f t="shared" si="20"/>
        <v>#N/A</v>
      </c>
      <c r="EB16" s="159">
        <f>SUMIFS(bargiri[قیمت کل بار],bargiri[سال],calc!$DS$5,bargiri[ماه],calc!$DP16)</f>
        <v>158777284530</v>
      </c>
      <c r="EC16" s="159">
        <f t="shared" si="21"/>
        <v>1011386349100</v>
      </c>
      <c r="ED16" s="169" t="e">
        <f t="shared" si="7"/>
        <v>#N/A</v>
      </c>
      <c r="EE16" s="159" t="e">
        <f t="shared" si="8"/>
        <v>#N/A</v>
      </c>
      <c r="EF16" s="159">
        <f t="shared" si="9"/>
        <v>1011386349100</v>
      </c>
      <c r="EG16" s="169" t="e">
        <f t="shared" si="10"/>
        <v>#N/A</v>
      </c>
      <c r="EJ16" s="174" t="s">
        <v>298</v>
      </c>
      <c r="EK16" s="231" t="str">
        <f>IF(SUMIFS(bargiri[میزان بارگیری شده],bargiri[سال],$EK$5,bargiri[ماه],EJ16)=0,"",SUMIFS(bargiri[میزان بارگیری شده],bargiri[سال],$EK$5,bargiri[ماه],EJ16))</f>
        <v/>
      </c>
      <c r="EL16" s="232" t="str">
        <f>IF(SUMIFS(bargiri[قیمت کل بار],bargiri[سال],$EK$5,bargiri[ماه],EJ16)=0,"",SUMIFS(bargiri[قیمت کل بار],bargiri[سال],$EK$5,bargiri[ماه],EJ16))</f>
        <v/>
      </c>
      <c r="EM16" s="228">
        <f t="shared" si="11"/>
        <v>1762502</v>
      </c>
      <c r="EN16" s="229">
        <f t="shared" si="12"/>
        <v>2143833.4024834568</v>
      </c>
      <c r="EO16" s="229">
        <f t="shared" si="13"/>
        <v>1381170.5975165432</v>
      </c>
      <c r="EP16" s="230">
        <f t="shared" si="14"/>
        <v>154722252983</v>
      </c>
      <c r="EQ16" s="230">
        <f t="shared" si="15"/>
        <v>193575005762.98251</v>
      </c>
      <c r="ER16" s="230">
        <f t="shared" si="16"/>
        <v>115869500203.01749</v>
      </c>
    </row>
    <row r="17" spans="1:148" x14ac:dyDescent="0.6">
      <c r="A17" s="102" t="s">
        <v>108</v>
      </c>
      <c r="K17" s="160" t="s">
        <v>513</v>
      </c>
      <c r="L17" s="161" t="s" vm="5">
        <v>514</v>
      </c>
      <c r="M17" s="104"/>
      <c r="N17" s="104"/>
      <c r="Z17" s="161" t="s">
        <v>616</v>
      </c>
      <c r="AA17" s="319">
        <v>95000</v>
      </c>
      <c r="AB17" s="241">
        <v>271395</v>
      </c>
      <c r="AC17" s="319">
        <v>857945</v>
      </c>
      <c r="AD17" s="319">
        <v>0.31633146646929583</v>
      </c>
      <c r="AE17"/>
      <c r="AN17" s="174" t="s">
        <v>103</v>
      </c>
      <c r="AO17" s="175">
        <v>1776730</v>
      </c>
      <c r="AP17" s="175">
        <v>551720</v>
      </c>
      <c r="AQ17" s="175">
        <v>75844.155844155845</v>
      </c>
      <c r="AR17" s="322">
        <v>6</v>
      </c>
      <c r="AS17" s="322">
        <v>77</v>
      </c>
      <c r="AT17" s="219">
        <v>2.9114266053690312E-2</v>
      </c>
      <c r="AU17" s="176">
        <f t="shared" si="0"/>
        <v>0.68947448402402167</v>
      </c>
      <c r="AV17" s="177"/>
      <c r="AW17" s="177" t="s">
        <v>121</v>
      </c>
      <c r="AX17" s="221">
        <f>IFERROR(SUMIFS(invoice[میزان سفارش],invoice[سال],calc!$AX$5,invoice[نام مشتری],calc!AW17)+IFERROR(SUMIFS(invoice[میزان سفارش],invoice[سال],(calc!$AX$5)-1,invoice[نام مشتری],calc!AW17),0)-SUMIFS(bargiri[میزان بارگیری شده],bargiri[نام مشتری],calc!AW17,bargiri[سال],(calc!$AX$5)-1),"")</f>
        <v>911920</v>
      </c>
      <c r="AY17" s="177"/>
      <c r="AZ17" s="177"/>
      <c r="BJ17" s="161" t="s">
        <v>295</v>
      </c>
      <c r="BK17" s="182">
        <v>1070380</v>
      </c>
      <c r="BL17" s="319">
        <v>83</v>
      </c>
      <c r="BO17" s="161" t="s">
        <v>295</v>
      </c>
      <c r="BP17" s="182">
        <v>16885685</v>
      </c>
      <c r="BQ17" s="319">
        <v>26</v>
      </c>
      <c r="BT17" s="174" t="s">
        <v>298</v>
      </c>
      <c r="BU17" s="184" t="str">
        <f>IF(SUMIFS(invoice[میزان سفارش],invoice[ماه],calc!BT17,invoice[سال],calc!$BV$5)=0,"",SUMIFS(invoice[میزان سفارش],invoice[ماه],calc!BT17,invoice[سال],calc!$BV$5))</f>
        <v/>
      </c>
      <c r="BV17" s="184" t="str">
        <f>IF(SUMIFS(bargiri[میزان بارگیری شده],bargiri[ماه],calc!BT17,bargiri[سال],calc!$BV$5)=0,"",SUMIFS(bargiri[میزان بارگیری شده],bargiri[ماه],calc!BT17,bargiri[سال],calc!$BV$5))</f>
        <v/>
      </c>
      <c r="BW17" s="184" t="str">
        <f>IF(BV17="","",SUM($BU$8:BU16)-SUM($BV$8:BV16)+$BW$8)</f>
        <v/>
      </c>
      <c r="BX17" s="168" t="str">
        <f>IF($BX$6=TRUE,IF(COUNTIFS(invoice[ماه],calc!BT17,invoice[سال],calc!$BV$5)=0,"",COUNTIFS(invoice[ماه],calc!BT17,invoice[سال],calc!$BV$5)),"")</f>
        <v/>
      </c>
      <c r="BY17" s="168" t="str">
        <f>IF($BY$6=TRUE,IF(COUNTIFS(bargiri[ماه],calc!BT17,bargiri[سال],calc!$BV$5)=0,"",COUNTIFS(bargiri[ماه],calc!BT17,bargiri[سال],calc!$BV$5)),"")</f>
        <v/>
      </c>
      <c r="BZ17" s="185" t="e">
        <f>IF(AVERAGEIFS(bargiri[فی],bargiri[ماه],calc!BT17,bargiri[سال],calc!$BV$5)=0,"",AVERAGEIFS(bargiri[فی],bargiri[ماه],calc!BT17,bargiri[سال],calc!$BV$5))</f>
        <v>#DIV/0!</v>
      </c>
      <c r="CA17" s="169" t="e">
        <f t="shared" si="24"/>
        <v>#N/A</v>
      </c>
      <c r="CJ17" s="161" t="s">
        <v>75</v>
      </c>
      <c r="CK17" s="319">
        <v>25000</v>
      </c>
      <c r="CL17" s="319">
        <v>78999</v>
      </c>
      <c r="CM17" s="319">
        <v>25000</v>
      </c>
      <c r="CN17" s="319">
        <v>78999</v>
      </c>
      <c r="CO17" s="189" t="str">
        <f t="shared" si="22"/>
        <v/>
      </c>
      <c r="CP17" s="190" t="str">
        <f t="shared" si="23"/>
        <v/>
      </c>
      <c r="CT17" s="174" t="s">
        <v>297</v>
      </c>
      <c r="CU17" s="180" t="str">
        <f>IFERROR(SUMPRODUCT((bargiri[ماه]=CT17)*(bargiri[سال]=$BV$5)*(bargiri[میزان بارگیری شده])*(bargiri[فی])) /SUMIFS(bargiri[میزان بارگیری شده], bargiri[ماه], CT17, bargiri[سال], calc!$BV$5), "")</f>
        <v/>
      </c>
      <c r="CV17" s="180" t="str">
        <f>IFERROR(SUMPRODUCT((bargiri[ماه]=CT17)*(bargiri[سال]=$BV$5)*(bargiri[میزان بارگیری شده])*(bargiri[فی])) /SUMIFS(bargiri[فی], bargiri[ماه], CT17, bargiri[سال], calc!$BV$5), "")</f>
        <v/>
      </c>
      <c r="DA17" s="174" t="s">
        <v>295</v>
      </c>
      <c r="DB17" s="180" cm="1">
        <f t="array" ref="DB17">IFERROR(SUMPRODUCT((bargiri[نام مشتری]=$DB$15)*(bargiri[ماه]=DA17)*(bargiri[سال]=$DD$15)*(bargiri[میزان بارگیری شده])*(bargiri[فی])) /SUMIFS(bargiri[میزان بارگیری شده], bargiri[ماه], DA17, bargiri[سال], $DD$15,bargiri[نام مشتری], $DB$15), "")</f>
        <v>68500</v>
      </c>
      <c r="DP17" s="174" t="s">
        <v>297</v>
      </c>
      <c r="DQ17" s="159" t="e">
        <f>IF(SUMIFS(bargiri[میزان بارگیری شده],bargiri[سال],calc!$DQ$5,bargiri[ماه],calc!$DP17)=0,NA(),SUMIFS(bargiri[میزان بارگیری شده],bargiri[سال],calc!$DQ$5,bargiri[ماه],calc!$DP17))</f>
        <v>#N/A</v>
      </c>
      <c r="DR17" s="159" t="e">
        <f t="shared" si="18"/>
        <v>#N/A</v>
      </c>
      <c r="DS17" s="159">
        <f>SUMIFS(bargiri[میزان بارگیری شده],bargiri[سال],calc!$DS$5,bargiri[ماه],calc!$DP17)</f>
        <v>2161055</v>
      </c>
      <c r="DT17" s="159">
        <f t="shared" si="19"/>
        <v>17250395</v>
      </c>
      <c r="DU17" s="169" t="e">
        <f t="shared" si="3"/>
        <v>#N/A</v>
      </c>
      <c r="DV17" s="225" t="e">
        <f t="shared" si="4"/>
        <v>#N/A</v>
      </c>
      <c r="DW17" s="225">
        <f t="shared" si="5"/>
        <v>17250395</v>
      </c>
      <c r="DX17" s="169" t="e">
        <f t="shared" si="6"/>
        <v>#N/A</v>
      </c>
      <c r="DY17" s="224"/>
      <c r="DZ17" s="159" t="e">
        <f>IF(SUMIFS(bargiri[قیمت کل بار],bargiri[سال],calc!$DQ$5,bargiri[ماه],calc!$DP17)=0,NA(),SUMIFS(bargiri[قیمت کل بار],bargiri[سال],calc!$DQ$5,bargiri[ماه],calc!$DP17))</f>
        <v>#N/A</v>
      </c>
      <c r="EA17" s="159" t="e">
        <f t="shared" si="20"/>
        <v>#N/A</v>
      </c>
      <c r="EB17" s="159">
        <f>SUMIFS(bargiri[قیمت کل بار],bargiri[سال],calc!$DS$5,bargiri[ماه],calc!$DP17)</f>
        <v>150531750930</v>
      </c>
      <c r="EC17" s="159">
        <f t="shared" si="21"/>
        <v>1161918100030</v>
      </c>
      <c r="ED17" s="169" t="e">
        <f t="shared" si="7"/>
        <v>#N/A</v>
      </c>
      <c r="EE17" s="159" t="e">
        <f t="shared" si="8"/>
        <v>#N/A</v>
      </c>
      <c r="EF17" s="159">
        <f t="shared" si="9"/>
        <v>1161918100030</v>
      </c>
      <c r="EG17" s="169" t="e">
        <f t="shared" si="10"/>
        <v>#N/A</v>
      </c>
      <c r="EJ17" s="174" t="s">
        <v>297</v>
      </c>
      <c r="EK17" s="231" t="str">
        <f>IF(SUMIFS(bargiri[میزان بارگیری شده],bargiri[سال],$EK$5,bargiri[ماه],EJ17)=0,"",SUMIFS(bargiri[میزان بارگیری شده],bargiri[سال],$EK$5,bargiri[ماه],EJ17))</f>
        <v/>
      </c>
      <c r="EL17" s="232" t="str">
        <f>IF(SUMIFS(bargiri[قیمت کل بار],bargiri[سال],$EK$5,bargiri[ماه],EJ17)=0,"",SUMIFS(bargiri[قیمت کل بار],bargiri[سال],$EK$5,bargiri[ماه],EJ17))</f>
        <v/>
      </c>
      <c r="EM17" s="228">
        <f t="shared" si="11"/>
        <v>1762502</v>
      </c>
      <c r="EN17" s="229">
        <f t="shared" si="12"/>
        <v>2143833.4024834568</v>
      </c>
      <c r="EO17" s="229">
        <f t="shared" si="13"/>
        <v>1381170.5975165432</v>
      </c>
      <c r="EP17" s="230">
        <f t="shared" si="14"/>
        <v>154722252983</v>
      </c>
      <c r="EQ17" s="230">
        <f t="shared" si="15"/>
        <v>193575005762.98251</v>
      </c>
      <c r="ER17" s="230">
        <f t="shared" si="16"/>
        <v>115869500203.01749</v>
      </c>
    </row>
    <row r="18" spans="1:148" x14ac:dyDescent="0.6">
      <c r="A18" s="101" t="s">
        <v>109</v>
      </c>
      <c r="Z18" s="161" t="s">
        <v>67</v>
      </c>
      <c r="AA18" s="319">
        <v>65000</v>
      </c>
      <c r="AB18" s="241">
        <v>30065</v>
      </c>
      <c r="AC18" s="319">
        <v>51540</v>
      </c>
      <c r="AD18" s="319">
        <v>0.58333333333333337</v>
      </c>
      <c r="AE18"/>
      <c r="AN18" s="174" t="s">
        <v>122</v>
      </c>
      <c r="AO18" s="175">
        <v>1600000</v>
      </c>
      <c r="AP18" s="175">
        <v>290805</v>
      </c>
      <c r="AQ18" s="175">
        <v>75000</v>
      </c>
      <c r="AR18" s="322">
        <v>3</v>
      </c>
      <c r="AS18" s="322">
        <v>17</v>
      </c>
      <c r="AT18" s="219">
        <v>1.5345780721640345E-2</v>
      </c>
      <c r="AU18" s="176">
        <f t="shared" si="0"/>
        <v>0.81824687500000004</v>
      </c>
      <c r="AV18" s="177"/>
      <c r="AW18" s="177" t="s">
        <v>117</v>
      </c>
      <c r="AX18" s="221">
        <f>IFERROR(SUMIFS(invoice[میزان سفارش],invoice[سال],calc!$AX$5,invoice[نام مشتری],calc!AW18)+IFERROR(SUMIFS(invoice[میزان سفارش],invoice[سال],(calc!$AX$5)-1,invoice[نام مشتری],calc!AW18),0)-SUMIFS(bargiri[میزان بارگیری شده],bargiri[نام مشتری],calc!AW18,bargiri[سال],(calc!$AX$5)-1),"")</f>
        <v>985105</v>
      </c>
      <c r="AY18" s="177"/>
      <c r="AZ18" s="177"/>
      <c r="BJ18" s="161" t="s">
        <v>303</v>
      </c>
      <c r="BK18" s="182">
        <v>1222105</v>
      </c>
      <c r="BL18" s="319">
        <v>78</v>
      </c>
      <c r="BO18" s="161" t="s">
        <v>303</v>
      </c>
      <c r="BP18" s="182">
        <v>420000</v>
      </c>
      <c r="BQ18" s="319">
        <v>14</v>
      </c>
      <c r="BT18" s="174" t="s">
        <v>297</v>
      </c>
      <c r="BU18" s="184" t="str">
        <f>IF(SUMIFS(invoice[میزان سفارش],invoice[ماه],calc!BT18,invoice[سال],calc!$BV$5)=0,"",SUMIFS(invoice[میزان سفارش],invoice[ماه],calc!BT18,invoice[سال],calc!$BV$5))</f>
        <v/>
      </c>
      <c r="BV18" s="184" t="str">
        <f>IF(SUMIFS(bargiri[میزان بارگیری شده],bargiri[ماه],calc!BT18,bargiri[سال],calc!$BV$5)=0,"",SUMIFS(bargiri[میزان بارگیری شده],bargiri[ماه],calc!BT18,bargiri[سال],calc!$BV$5))</f>
        <v/>
      </c>
      <c r="BW18" s="184" t="str">
        <f>IF(BV18="","",SUM($BU$8:BU17)-SUM($BV$8:BV17)+$BW$8)</f>
        <v/>
      </c>
      <c r="BX18" s="168" t="str">
        <f>IF($BX$6=TRUE,IF(COUNTIFS(invoice[ماه],calc!BT18,invoice[سال],calc!$BV$5)=0,"",COUNTIFS(invoice[ماه],calc!BT18,invoice[سال],calc!$BV$5)),"")</f>
        <v/>
      </c>
      <c r="BY18" s="168" t="str">
        <f>IF($BY$6=TRUE,IF(COUNTIFS(bargiri[ماه],calc!BT18,bargiri[سال],calc!$BV$5)=0,"",COUNTIFS(bargiri[ماه],calc!BT18,bargiri[سال],calc!$BV$5)),"")</f>
        <v/>
      </c>
      <c r="BZ18" s="185" t="e">
        <f>IF(AVERAGEIFS(bargiri[فی],bargiri[ماه],calc!BT18,bargiri[سال],calc!$BV$5)=0,"",AVERAGEIFS(bargiri[فی],bargiri[ماه],calc!BT18,bargiri[سال],calc!$BV$5))</f>
        <v>#DIV/0!</v>
      </c>
      <c r="CA18" s="169" t="e">
        <f t="shared" si="24"/>
        <v>#N/A</v>
      </c>
      <c r="CJ18" s="161" t="s">
        <v>655</v>
      </c>
      <c r="CK18" s="319">
        <v>40000</v>
      </c>
      <c r="CL18" s="319">
        <v>83000</v>
      </c>
      <c r="CM18" s="319"/>
      <c r="CN18" s="319"/>
      <c r="CO18" s="189">
        <f t="shared" si="22"/>
        <v>40000</v>
      </c>
      <c r="CP18" s="190">
        <f t="shared" si="23"/>
        <v>83000</v>
      </c>
      <c r="CT18" s="174" t="s">
        <v>296</v>
      </c>
      <c r="CU18" s="180" t="str">
        <f>IFERROR(SUMPRODUCT((bargiri[ماه]=CT18)*(bargiri[سال]=$BV$5)*(bargiri[میزان بارگیری شده])*(bargiri[فی])) /SUMIFS(bargiri[میزان بارگیری شده], bargiri[ماه], CT18, bargiri[سال], calc!$BV$5), "")</f>
        <v/>
      </c>
      <c r="CV18" s="180" t="str">
        <f>IFERROR(SUMPRODUCT((bargiri[ماه]=CT18)*(bargiri[سال]=$BV$5)*(bargiri[میزان بارگیری شده])*(bargiri[فی])) /SUMIFS(bargiri[فی], bargiri[ماه], CT18, bargiri[سال], calc!$BV$5), "")</f>
        <v/>
      </c>
      <c r="DA18" s="174" t="s">
        <v>305</v>
      </c>
      <c r="DB18" s="180" cm="1">
        <f t="array" ref="DB18">IFERROR(SUMPRODUCT((bargiri[نام مشتری]=$DB$15)*(bargiri[ماه]=DA18)*(bargiri[سال]=$DD$15)*(bargiri[میزان بارگیری شده])*(bargiri[فی])) /SUMIFS(bargiri[میزان بارگیری شده], bargiri[ماه], DA18, bargiri[سال], $DD$15,bargiri[نام مشتری], $DB$15), "")</f>
        <v>68500</v>
      </c>
      <c r="DP18" s="174" t="s">
        <v>296</v>
      </c>
      <c r="DQ18" s="159" t="e">
        <f>IF(SUMIFS(bargiri[میزان بارگیری شده],bargiri[سال],calc!$DQ$5,bargiri[ماه],calc!$DP18)=0,NA(),SUMIFS(bargiri[میزان بارگیری شده],bargiri[سال],calc!$DQ$5,bargiri[ماه],calc!$DP18))</f>
        <v>#N/A</v>
      </c>
      <c r="DR18" s="159" t="e">
        <f t="shared" si="18"/>
        <v>#N/A</v>
      </c>
      <c r="DS18" s="159">
        <f>SUMIFS(bargiri[میزان بارگیری شده],bargiri[سال],calc!$DS$5,bargiri[ماه],calc!$DP18)</f>
        <v>1699765</v>
      </c>
      <c r="DT18" s="159">
        <f t="shared" si="19"/>
        <v>18950160</v>
      </c>
      <c r="DU18" s="169" t="e">
        <f t="shared" si="3"/>
        <v>#N/A</v>
      </c>
      <c r="DV18" s="225" t="e">
        <f t="shared" si="4"/>
        <v>#N/A</v>
      </c>
      <c r="DW18" s="225">
        <f t="shared" si="5"/>
        <v>18950160</v>
      </c>
      <c r="DX18" s="169" t="e">
        <f t="shared" si="6"/>
        <v>#N/A</v>
      </c>
      <c r="DY18" s="224"/>
      <c r="DZ18" s="159" t="e">
        <f>IF(SUMIFS(bargiri[قیمت کل بار],bargiri[سال],calc!$DQ$5,bargiri[ماه],calc!$DP18)=0,NA(),SUMIFS(bargiri[قیمت کل بار],bargiri[سال],calc!$DQ$5,bargiri[ماه],calc!$DP18))</f>
        <v>#N/A</v>
      </c>
      <c r="EA18" s="159" t="e">
        <f t="shared" si="20"/>
        <v>#N/A</v>
      </c>
      <c r="EB18" s="159">
        <f>SUMIFS(bargiri[قیمت کل بار],bargiri[سال],calc!$DS$5,bargiri[ماه],calc!$DP18)</f>
        <v>119473061040</v>
      </c>
      <c r="EC18" s="159">
        <f t="shared" si="21"/>
        <v>1281391161070</v>
      </c>
      <c r="ED18" s="169" t="e">
        <f t="shared" si="7"/>
        <v>#N/A</v>
      </c>
      <c r="EE18" s="159" t="e">
        <f t="shared" si="8"/>
        <v>#N/A</v>
      </c>
      <c r="EF18" s="159">
        <f t="shared" si="9"/>
        <v>1281391161070</v>
      </c>
      <c r="EG18" s="169" t="e">
        <f t="shared" si="10"/>
        <v>#N/A</v>
      </c>
      <c r="EJ18" s="174" t="s">
        <v>296</v>
      </c>
      <c r="EK18" s="231" t="str">
        <f>IF(SUMIFS(bargiri[میزان بارگیری شده],bargiri[سال],$EK$5,bargiri[ماه],EJ18)=0,"",SUMIFS(bargiri[میزان بارگیری شده],bargiri[سال],$EK$5,bargiri[ماه],EJ18))</f>
        <v/>
      </c>
      <c r="EL18" s="232" t="str">
        <f>IF(SUMIFS(bargiri[قیمت کل بار],bargiri[سال],$EK$5,bargiri[ماه],EJ18)=0,"",SUMIFS(bargiri[قیمت کل بار],bargiri[سال],$EK$5,bargiri[ماه],EJ18))</f>
        <v/>
      </c>
      <c r="EM18" s="228">
        <f t="shared" si="11"/>
        <v>1762502</v>
      </c>
      <c r="EN18" s="229">
        <f t="shared" si="12"/>
        <v>2143833.4024834568</v>
      </c>
      <c r="EO18" s="229">
        <f t="shared" si="13"/>
        <v>1381170.5975165432</v>
      </c>
      <c r="EP18" s="230">
        <f t="shared" si="14"/>
        <v>154722252983</v>
      </c>
      <c r="EQ18" s="230">
        <f t="shared" si="15"/>
        <v>193575005762.98251</v>
      </c>
      <c r="ER18" s="230">
        <f t="shared" si="16"/>
        <v>115869500203.01749</v>
      </c>
    </row>
    <row r="19" spans="1:148" x14ac:dyDescent="0.6">
      <c r="A19" s="102" t="s">
        <v>110</v>
      </c>
      <c r="K19" s="159" t="s">
        <v>307</v>
      </c>
      <c r="L19" s="159" t="s">
        <v>289</v>
      </c>
      <c r="M19" s="159" t="s">
        <v>290</v>
      </c>
      <c r="N19" s="159" t="s">
        <v>1</v>
      </c>
      <c r="O19" s="159" t="s">
        <v>235</v>
      </c>
      <c r="P19" s="159" t="s">
        <v>282</v>
      </c>
      <c r="Q19" s="159" t="s">
        <v>309</v>
      </c>
      <c r="R19" s="159" t="s">
        <v>308</v>
      </c>
      <c r="S19" s="159" t="s">
        <v>314</v>
      </c>
      <c r="T19" s="159" t="s">
        <v>315</v>
      </c>
      <c r="Z19" s="161" t="s">
        <v>539</v>
      </c>
      <c r="AA19" s="319">
        <v>126000</v>
      </c>
      <c r="AB19" s="241">
        <v>50000</v>
      </c>
      <c r="AC19" s="319">
        <v>50000</v>
      </c>
      <c r="AD19" s="319">
        <v>1</v>
      </c>
      <c r="AE19"/>
      <c r="AN19" s="174" t="s">
        <v>101</v>
      </c>
      <c r="AO19" s="175">
        <v>1314380</v>
      </c>
      <c r="AP19" s="175">
        <v>653845</v>
      </c>
      <c r="AQ19" s="175">
        <v>69682.926829268297</v>
      </c>
      <c r="AR19" s="322">
        <v>12</v>
      </c>
      <c r="AS19" s="322">
        <v>41</v>
      </c>
      <c r="AT19" s="219">
        <v>3.4503402609793267E-2</v>
      </c>
      <c r="AU19" s="176">
        <f t="shared" si="0"/>
        <v>0.5025449261248649</v>
      </c>
      <c r="AV19" s="177"/>
      <c r="AW19" s="177" t="s">
        <v>101</v>
      </c>
      <c r="AX19" s="221">
        <f>IFERROR(SUMIFS(invoice[میزان سفارش],invoice[سال],calc!$AX$5,invoice[نام مشتری],calc!AW19)+IFERROR(SUMIFS(invoice[میزان سفارش],invoice[سال],(calc!$AX$5)-1,invoice[نام مشتری],calc!AW19),0)-SUMIFS(bargiri[میزان بارگیری شده],bargiri[نام مشتری],calc!AW19,bargiri[سال],(calc!$AX$5)-1),"")</f>
        <v>660535</v>
      </c>
      <c r="AY19" s="177"/>
      <c r="AZ19" s="177"/>
      <c r="BJ19" s="161" t="s">
        <v>301</v>
      </c>
      <c r="BK19" s="182">
        <v>2068095</v>
      </c>
      <c r="BL19" s="319">
        <v>110</v>
      </c>
      <c r="BO19" s="161" t="s">
        <v>301</v>
      </c>
      <c r="BP19" s="182">
        <v>1020000</v>
      </c>
      <c r="BQ19" s="319">
        <v>4</v>
      </c>
      <c r="BT19" s="174" t="s">
        <v>296</v>
      </c>
      <c r="BU19" s="184" t="str">
        <f>IF(SUMIFS(invoice[میزان سفارش],invoice[ماه],calc!BT19,invoice[سال],calc!$BV$5)=0,"",SUMIFS(invoice[میزان سفارش],invoice[ماه],calc!BT19,invoice[سال],calc!$BV$5))</f>
        <v/>
      </c>
      <c r="BV19" s="184" t="str">
        <f>IF(SUMIFS(bargiri[میزان بارگیری شده],bargiri[ماه],calc!BT19,bargiri[سال],calc!$BV$5)=0,"",SUMIFS(bargiri[میزان بارگیری شده],bargiri[ماه],calc!BT19,bargiri[سال],calc!$BV$5))</f>
        <v/>
      </c>
      <c r="BW19" s="184" t="str">
        <f>IF(BV19="","",SUM($BU$8:BU18)-SUM($BV$8:BV18)+$BW$8)</f>
        <v/>
      </c>
      <c r="BX19" s="168" t="str">
        <f>IF($BX$6=TRUE,IF(COUNTIFS(invoice[ماه],calc!BT19,invoice[سال],calc!$BV$5)=0,"",COUNTIFS(invoice[ماه],calc!BT19,invoice[سال],calc!$BV$5)),"")</f>
        <v/>
      </c>
      <c r="BY19" s="168" t="str">
        <f>IF($BY$6=TRUE,IF(COUNTIFS(bargiri[ماه],calc!BT19,bargiri[سال],calc!$BV$5)=0,"",COUNTIFS(bargiri[ماه],calc!BT19,bargiri[سال],calc!$BV$5)),"")</f>
        <v/>
      </c>
      <c r="BZ19" s="185" t="e">
        <f>IF(AVERAGEIFS(bargiri[فی],bargiri[ماه],calc!BT19,bargiri[سال],calc!$BV$5)=0,"",AVERAGEIFS(bargiri[فی],bargiri[ماه],calc!BT19,bargiri[سال],calc!$BV$5))</f>
        <v>#DIV/0!</v>
      </c>
      <c r="CA19" s="169" t="e">
        <f t="shared" si="24"/>
        <v>#N/A</v>
      </c>
      <c r="CJ19" s="161" t="s">
        <v>629</v>
      </c>
      <c r="CK19" s="319">
        <v>50000</v>
      </c>
      <c r="CL19" s="319">
        <v>167500</v>
      </c>
      <c r="CM19" s="319"/>
      <c r="CN19" s="319"/>
      <c r="CO19" s="189">
        <f t="shared" si="22"/>
        <v>50000</v>
      </c>
      <c r="CP19" s="190">
        <f t="shared" si="23"/>
        <v>167500</v>
      </c>
      <c r="DA19" s="174" t="s">
        <v>311</v>
      </c>
      <c r="DB19" s="180" cm="1">
        <f t="array" ref="DB19">IFERROR(SUMPRODUCT((bargiri[نام مشتری]=$DB$15)*(bargiri[ماه]=DA19)*(bargiri[سال]=$DD$15)*(bargiri[میزان بارگیری شده])*(bargiri[فی])) /SUMIFS(bargiri[میزان بارگیری شده], bargiri[ماه], DA19, bargiri[سال], $DD$15,bargiri[نام مشتری], $DB$15), "")</f>
        <v>134336.84733610193</v>
      </c>
      <c r="DY19" s="223"/>
    </row>
    <row r="20" spans="1:148" x14ac:dyDescent="0.6">
      <c r="A20" s="101" t="s">
        <v>254</v>
      </c>
      <c r="K20" s="319">
        <v>15</v>
      </c>
      <c r="L20" s="319">
        <v>73</v>
      </c>
      <c r="M20" s="171">
        <v>177</v>
      </c>
      <c r="N20" s="182">
        <v>13456635</v>
      </c>
      <c r="O20" s="182">
        <v>2317277</v>
      </c>
      <c r="P20" s="171">
        <v>137842.93785310735</v>
      </c>
      <c r="Q20" s="183">
        <v>184337.46575342465</v>
      </c>
      <c r="R20" s="183">
        <v>13091.9604519774</v>
      </c>
      <c r="S20" s="183">
        <v>6218.3682860114131</v>
      </c>
      <c r="T20" s="183">
        <v>354314.81627250847</v>
      </c>
      <c r="Z20" s="161" t="s">
        <v>571</v>
      </c>
      <c r="AA20" s="319">
        <v>142000</v>
      </c>
      <c r="AB20" s="241">
        <v>300000</v>
      </c>
      <c r="AC20" s="319">
        <v>300000</v>
      </c>
      <c r="AD20" s="319">
        <v>1</v>
      </c>
      <c r="AE20"/>
      <c r="AN20" s="174" t="s">
        <v>113</v>
      </c>
      <c r="AO20" s="175">
        <v>1000000</v>
      </c>
      <c r="AP20" s="175">
        <v>542385</v>
      </c>
      <c r="AQ20" s="175">
        <v>75000</v>
      </c>
      <c r="AR20" s="322">
        <v>1</v>
      </c>
      <c r="AS20" s="322">
        <v>30</v>
      </c>
      <c r="AT20" s="219">
        <v>2.8621658075710179E-2</v>
      </c>
      <c r="AU20" s="176">
        <f t="shared" si="0"/>
        <v>0.45761499999999999</v>
      </c>
      <c r="AV20" s="177"/>
      <c r="AW20" s="177" t="s">
        <v>105</v>
      </c>
      <c r="AX20" s="221">
        <f>IFERROR(SUMIFS(invoice[میزان سفارش],invoice[سال],calc!$AX$5,invoice[نام مشتری],calc!AW20)+IFERROR(SUMIFS(invoice[میزان سفارش],invoice[سال],(calc!$AX$5)-1,invoice[نام مشتری],calc!AW20),0)-SUMIFS(bargiri[میزان بارگیری شده],bargiri[نام مشتری],calc!AW20,bargiri[سال],(calc!$AX$5)-1),"")</f>
        <v>600000</v>
      </c>
      <c r="AY20" s="177"/>
      <c r="AZ20" s="177"/>
      <c r="BW20" s="168"/>
      <c r="CJ20" s="161" t="s">
        <v>661</v>
      </c>
      <c r="CK20" s="319">
        <v>50000</v>
      </c>
      <c r="CL20" s="319">
        <v>116500</v>
      </c>
      <c r="CM20" s="319"/>
      <c r="CN20" s="319"/>
      <c r="CO20" s="189">
        <f t="shared" si="22"/>
        <v>50000</v>
      </c>
      <c r="CP20" s="190">
        <f t="shared" si="23"/>
        <v>116500</v>
      </c>
      <c r="DA20" s="174" t="s">
        <v>304</v>
      </c>
      <c r="DB20" s="180" cm="1">
        <f t="array" ref="DB20">IFERROR(SUMPRODUCT((bargiri[نام مشتری]=$DB$15)*(bargiri[ماه]=DA20)*(bargiri[سال]=$DD$15)*(bargiri[میزان بارگیری شده])*(bargiri[فی])) /SUMIFS(bargiri[میزان بارگیری شده], bargiri[ماه], DA20, bargiri[سال], $DD$15,bargiri[نام مشتری], $DB$15), "")</f>
        <v>100236.07657162685</v>
      </c>
    </row>
    <row r="21" spans="1:148" x14ac:dyDescent="0.6">
      <c r="A21" s="102" t="s">
        <v>255</v>
      </c>
      <c r="Z21" s="161" t="s">
        <v>70</v>
      </c>
      <c r="AA21" s="319">
        <v>92179</v>
      </c>
      <c r="AB21" s="241">
        <v>30000</v>
      </c>
      <c r="AC21" s="319">
        <v>30000</v>
      </c>
      <c r="AD21" s="319">
        <v>1</v>
      </c>
      <c r="AE21"/>
      <c r="AN21" s="174" t="s">
        <v>121</v>
      </c>
      <c r="AO21" s="175">
        <v>911920</v>
      </c>
      <c r="AP21" s="175"/>
      <c r="AQ21" s="175"/>
      <c r="AR21" s="322">
        <v>9</v>
      </c>
      <c r="AS21" s="322"/>
      <c r="AT21" s="219">
        <v>0</v>
      </c>
      <c r="AU21" s="176">
        <f t="shared" si="0"/>
        <v>1</v>
      </c>
      <c r="AV21" s="177"/>
      <c r="AW21" s="177" t="s">
        <v>114</v>
      </c>
      <c r="AX21" s="221">
        <f>IFERROR(SUMIFS(invoice[میزان سفارش],invoice[سال],calc!$AX$5,invoice[نام مشتری],calc!AW21)+IFERROR(SUMIFS(invoice[میزان سفارش],invoice[سال],(calc!$AX$5)-1,invoice[نام مشتری],calc!AW21),0)-SUMIFS(bargiri[میزان بارگیری شده],bargiri[نام مشتری],calc!AW21,bargiri[سال],(calc!$AX$5)-1),"")</f>
        <v>584210</v>
      </c>
      <c r="AY21" s="177"/>
      <c r="AZ21" s="177"/>
      <c r="CJ21" s="161" t="s">
        <v>72</v>
      </c>
      <c r="CK21" s="319">
        <v>85900</v>
      </c>
      <c r="CL21" s="319">
        <v>65000</v>
      </c>
      <c r="CM21" s="319">
        <v>85900</v>
      </c>
      <c r="CN21" s="319">
        <v>65000</v>
      </c>
      <c r="CO21" s="189" t="str">
        <f t="shared" si="22"/>
        <v/>
      </c>
      <c r="CP21" s="190" t="str">
        <f t="shared" si="23"/>
        <v/>
      </c>
      <c r="DA21" s="174" t="s">
        <v>303</v>
      </c>
      <c r="DB21" s="180" cm="1">
        <f t="array" ref="DB21">IFERROR(SUMPRODUCT((bargiri[نام مشتری]=$DB$15)*(bargiri[ماه]=DA21)*(bargiri[سال]=$DD$15)*(bargiri[میزان بارگیری شده])*(bargiri[فی])) /SUMIFS(bargiri[میزان بارگیری شده], bargiri[ماه], DA21, bargiri[سال], $DD$15,bargiri[نام مشتری], $DB$15), "")</f>
        <v>110469.46292919168</v>
      </c>
    </row>
    <row r="22" spans="1:148" x14ac:dyDescent="0.6">
      <c r="A22" s="102" t="s">
        <v>116</v>
      </c>
      <c r="Z22" s="161" t="s">
        <v>77</v>
      </c>
      <c r="AA22" s="319">
        <v>68101.744186046519</v>
      </c>
      <c r="AB22" s="241">
        <v>3084015</v>
      </c>
      <c r="AC22" s="319">
        <v>3084015</v>
      </c>
      <c r="AD22" s="319">
        <v>1</v>
      </c>
      <c r="AE22"/>
      <c r="AN22" s="174" t="s">
        <v>115</v>
      </c>
      <c r="AO22" s="175">
        <v>887865</v>
      </c>
      <c r="AP22" s="175">
        <v>842395</v>
      </c>
      <c r="AQ22" s="175">
        <v>64024.390243902439</v>
      </c>
      <c r="AR22" s="322">
        <v>3</v>
      </c>
      <c r="AS22" s="322">
        <v>41</v>
      </c>
      <c r="AT22" s="219">
        <v>4.4453186674941005E-2</v>
      </c>
      <c r="AU22" s="176">
        <f t="shared" si="0"/>
        <v>5.1212740675665835E-2</v>
      </c>
      <c r="AV22" s="177"/>
      <c r="AW22" s="177" t="s">
        <v>123</v>
      </c>
      <c r="AX22" s="221">
        <f>IFERROR(SUMIFS(invoice[میزان سفارش],invoice[سال],calc!$AX$5,invoice[نام مشتری],calc!AW22)+IFERROR(SUMIFS(invoice[میزان سفارش],invoice[سال],(calc!$AX$5)-1,invoice[نام مشتری],calc!AW22),0)-SUMIFS(bargiri[میزان بارگیری شده],bargiri[نام مشتری],calc!AW22,bargiri[سال],(calc!$AX$5)-1),"")</f>
        <v>516630</v>
      </c>
      <c r="AY22" s="177"/>
      <c r="AZ22" s="177"/>
      <c r="CJ22" s="161" t="s">
        <v>74</v>
      </c>
      <c r="CK22" s="319">
        <v>50000</v>
      </c>
      <c r="CL22" s="319">
        <v>75000</v>
      </c>
      <c r="CM22" s="319">
        <v>50000</v>
      </c>
      <c r="CN22" s="319">
        <v>75000</v>
      </c>
      <c r="CO22" s="189" t="str">
        <f t="shared" si="22"/>
        <v/>
      </c>
      <c r="CP22" s="190" t="str">
        <f t="shared" si="23"/>
        <v/>
      </c>
      <c r="DA22" s="174" t="s">
        <v>302</v>
      </c>
      <c r="DB22" s="180" t="str" cm="1">
        <f t="array" ref="DB22">IFERROR(SUMPRODUCT((bargiri[نام مشتری]=$DB$15)*(bargiri[ماه]=DA22)*(bargiri[سال]=$DD$15)*(bargiri[میزان بارگیری شده])*(bargiri[فی])) /SUMIFS(bargiri[میزان بارگیری شده], bargiri[ماه], DA22, bargiri[سال], $DD$15,bargiri[نام مشتری], $DB$15), "")</f>
        <v/>
      </c>
    </row>
    <row r="23" spans="1:148" x14ac:dyDescent="0.6">
      <c r="A23" s="102" t="s">
        <v>117</v>
      </c>
      <c r="Z23" s="161" t="s">
        <v>71</v>
      </c>
      <c r="AA23" s="319">
        <v>83800</v>
      </c>
      <c r="AB23" s="241">
        <v>50000</v>
      </c>
      <c r="AC23" s="319">
        <v>50000</v>
      </c>
      <c r="AD23" s="319">
        <v>1</v>
      </c>
      <c r="AE23"/>
      <c r="AN23" s="174" t="s">
        <v>114</v>
      </c>
      <c r="AO23" s="175">
        <v>800000</v>
      </c>
      <c r="AP23" s="175">
        <v>215790</v>
      </c>
      <c r="AQ23" s="175">
        <v>75000</v>
      </c>
      <c r="AR23" s="322">
        <v>2</v>
      </c>
      <c r="AS23" s="322">
        <v>10</v>
      </c>
      <c r="AT23" s="219">
        <v>1.1387238946795173E-2</v>
      </c>
      <c r="AU23" s="176">
        <f t="shared" si="0"/>
        <v>0.73026250000000004</v>
      </c>
      <c r="AV23" s="177"/>
      <c r="AW23" s="177" t="s">
        <v>113</v>
      </c>
      <c r="AX23" s="221">
        <f>IFERROR(SUMIFS(invoice[میزان سفارش],invoice[سال],calc!$AX$5,invoice[نام مشتری],calc!AW23)+IFERROR(SUMIFS(invoice[میزان سفارش],invoice[سال],(calc!$AX$5)-1,invoice[نام مشتری],calc!AW23),0)-SUMIFS(bargiri[میزان بارگیری شده],bargiri[نام مشتری],calc!AW23,bargiri[سال],(calc!$AX$5)-1),"")</f>
        <v>457615</v>
      </c>
      <c r="AY23" s="177"/>
      <c r="AZ23" s="177"/>
      <c r="BU23" s="159" t="s">
        <v>237</v>
      </c>
      <c r="BV23" s="159">
        <v>2</v>
      </c>
      <c r="CJ23" s="161" t="s">
        <v>730</v>
      </c>
      <c r="CK23" s="319">
        <v>20000</v>
      </c>
      <c r="CL23" s="319">
        <v>167500</v>
      </c>
      <c r="CM23" s="319"/>
      <c r="CN23" s="319"/>
      <c r="CO23" s="189">
        <f t="shared" si="22"/>
        <v>20000</v>
      </c>
      <c r="CP23" s="190">
        <f t="shared" si="23"/>
        <v>167500</v>
      </c>
      <c r="DA23" s="174" t="s">
        <v>301</v>
      </c>
      <c r="DB23" s="180" t="str" cm="1">
        <f t="array" ref="DB23">IFERROR(SUMPRODUCT((bargiri[نام مشتری]=$DB$15)*(bargiri[ماه]=DA23)*(bargiri[سال]=$DD$15)*(bargiri[میزان بارگیری شده])*(bargiri[فی])) /SUMIFS(bargiri[میزان بارگیری شده], bargiri[ماه], DA23, bargiri[سال], $DD$15,bargiri[نام مشتری], $DB$15), "")</f>
        <v/>
      </c>
    </row>
    <row r="24" spans="1:148" x14ac:dyDescent="0.6">
      <c r="A24" s="102" t="s">
        <v>118</v>
      </c>
      <c r="AN24" s="174" t="s">
        <v>105</v>
      </c>
      <c r="AO24" s="175">
        <v>600000</v>
      </c>
      <c r="AP24" s="175"/>
      <c r="AQ24" s="175"/>
      <c r="AR24" s="322">
        <v>1</v>
      </c>
      <c r="AS24" s="322"/>
      <c r="AT24" s="219">
        <v>0</v>
      </c>
      <c r="AU24" s="176">
        <f t="shared" si="0"/>
        <v>1</v>
      </c>
      <c r="AV24" s="177"/>
      <c r="AW24" s="177" t="s">
        <v>107</v>
      </c>
      <c r="AX24" s="221">
        <f>IFERROR(SUMIFS(invoice[میزان سفارش],invoice[سال],calc!$AX$5,invoice[نام مشتری],calc!AW24)+IFERROR(SUMIFS(invoice[میزان سفارش],invoice[سال],(calc!$AX$5)-1,invoice[نام مشتری],calc!AW24),0)-SUMIFS(bargiri[میزان بارگیری شده],bargiri[نام مشتری],calc!AW24,bargiri[سال],(calc!$AX$5)-1),"")</f>
        <v>382715</v>
      </c>
      <c r="AY24" s="177"/>
      <c r="AZ24" s="177"/>
      <c r="BU24" s="168">
        <v>1403</v>
      </c>
      <c r="CJ24" s="161" t="s">
        <v>73</v>
      </c>
      <c r="CK24" s="319">
        <v>50000</v>
      </c>
      <c r="CL24" s="319">
        <v>92180</v>
      </c>
      <c r="CM24" s="319">
        <v>50000</v>
      </c>
      <c r="CN24" s="319">
        <v>92180</v>
      </c>
      <c r="CO24" s="189" t="str">
        <f t="shared" si="22"/>
        <v/>
      </c>
      <c r="CP24" s="190" t="str">
        <f t="shared" si="23"/>
        <v/>
      </c>
      <c r="DA24" s="174" t="s">
        <v>300</v>
      </c>
      <c r="DB24" s="180" t="str" cm="1">
        <f t="array" ref="DB24">IFERROR(SUMPRODUCT((bargiri[نام مشتری]=$DB$15)*(bargiri[ماه]=DA24)*(bargiri[سال]=$DD$15)*(bargiri[میزان بارگیری شده])*(bargiri[فی])) /SUMIFS(bargiri[میزان بارگیری شده], bargiri[ماه], DA24, bargiri[سال], $DD$15,bargiri[نام مشتری], $DB$15), "")</f>
        <v/>
      </c>
    </row>
    <row r="25" spans="1:148" x14ac:dyDescent="0.6">
      <c r="A25" s="101" t="s">
        <v>120</v>
      </c>
      <c r="AN25" s="174" t="s">
        <v>123</v>
      </c>
      <c r="AO25" s="175">
        <v>570000</v>
      </c>
      <c r="AP25" s="175">
        <v>53370</v>
      </c>
      <c r="AQ25" s="175">
        <v>75000</v>
      </c>
      <c r="AR25" s="322">
        <v>3</v>
      </c>
      <c r="AS25" s="322">
        <v>7</v>
      </c>
      <c r="AT25" s="219">
        <v>2.8163350599678316E-3</v>
      </c>
      <c r="AU25" s="176">
        <f t="shared" si="0"/>
        <v>0.9063684210526316</v>
      </c>
      <c r="AV25" s="177"/>
      <c r="AW25" s="177" t="s">
        <v>125</v>
      </c>
      <c r="AX25" s="221">
        <f>IFERROR(SUMIFS(invoice[میزان سفارش],invoice[سال],calc!$AX$5,invoice[نام مشتری],calc!AW25)+IFERROR(SUMIFS(invoice[میزان سفارش],invoice[سال],(calc!$AX$5)-1,invoice[نام مشتری],calc!AW25),0)-SUMIFS(bargiri[میزان بارگیری شده],bargiri[نام مشتری],calc!AW25,bargiri[سال],(calc!$AX$5)-1),"")</f>
        <v>300000</v>
      </c>
      <c r="AY25" s="177"/>
      <c r="AZ25" s="177"/>
      <c r="BU25" s="168">
        <v>1404</v>
      </c>
      <c r="CJ25" s="161" t="s">
        <v>77</v>
      </c>
      <c r="CK25" s="319">
        <v>3084015</v>
      </c>
      <c r="CL25" s="319">
        <v>68500</v>
      </c>
      <c r="CM25" s="319">
        <v>3084015</v>
      </c>
      <c r="CN25" s="319">
        <v>68101.744186046519</v>
      </c>
      <c r="CO25" s="189" t="str">
        <f t="shared" si="22"/>
        <v/>
      </c>
      <c r="CP25" s="190" t="str">
        <f t="shared" si="23"/>
        <v/>
      </c>
      <c r="DA25" s="174" t="s">
        <v>299</v>
      </c>
      <c r="DB25" s="180" t="str" cm="1">
        <f t="array" ref="DB25">IFERROR(SUMPRODUCT((bargiri[نام مشتری]=$DB$15)*(bargiri[ماه]=DA25)*(bargiri[سال]=$DD$15)*(bargiri[میزان بارگیری شده])*(bargiri[فی])) /SUMIFS(bargiri[میزان بارگیری شده], bargiri[ماه], DA25, bargiri[سال], $DD$15,bargiri[نام مشتری], $DB$15), "")</f>
        <v/>
      </c>
    </row>
    <row r="26" spans="1:148" x14ac:dyDescent="0.6">
      <c r="A26" s="102" t="s">
        <v>121</v>
      </c>
      <c r="AN26" s="174" t="s">
        <v>124</v>
      </c>
      <c r="AO26" s="175">
        <v>478610</v>
      </c>
      <c r="AP26" s="175">
        <v>294565</v>
      </c>
      <c r="AQ26" s="175">
        <v>70714.28571428571</v>
      </c>
      <c r="AR26" s="322">
        <v>2</v>
      </c>
      <c r="AS26" s="322">
        <v>14</v>
      </c>
      <c r="AT26" s="219">
        <v>1.5544195932910329E-2</v>
      </c>
      <c r="AU26" s="176">
        <f t="shared" si="0"/>
        <v>0.38454064896262097</v>
      </c>
      <c r="AV26" s="177"/>
      <c r="AW26" s="177" t="s">
        <v>100</v>
      </c>
      <c r="AX26" s="221">
        <f>IFERROR(SUMIFS(invoice[میزان سفارش],invoice[سال],calc!$AX$5,invoice[نام مشتری],calc!AW26)+IFERROR(SUMIFS(invoice[میزان سفارش],invoice[سال],(calc!$AX$5)-1,invoice[نام مشتری],calc!AW26),0)-SUMIFS(bargiri[میزان بارگیری شده],bargiri[نام مشتری],calc!AW26,bargiri[سال],(calc!$AX$5)-1),"")</f>
        <v>300000</v>
      </c>
      <c r="AY26" s="177"/>
      <c r="AZ26" s="177"/>
      <c r="BU26" s="168">
        <v>1405</v>
      </c>
      <c r="CJ26" s="161" t="s">
        <v>750</v>
      </c>
      <c r="CK26" s="319">
        <v>20000</v>
      </c>
      <c r="CL26" s="319">
        <v>116500</v>
      </c>
      <c r="CM26" s="319"/>
      <c r="CN26" s="319"/>
      <c r="CO26" s="189">
        <f t="shared" si="22"/>
        <v>20000</v>
      </c>
      <c r="CP26" s="190">
        <f t="shared" si="23"/>
        <v>116500</v>
      </c>
      <c r="DA26" s="174" t="s">
        <v>298</v>
      </c>
      <c r="DB26" s="180" t="str" cm="1">
        <f t="array" ref="DB26">IFERROR(SUMPRODUCT((bargiri[نام مشتری]=$DB$15)*(bargiri[ماه]=DA26)*(bargiri[سال]=$DD$15)*(bargiri[میزان بارگیری شده])*(bargiri[فی])) /SUMIFS(bargiri[میزان بارگیری شده], bargiri[ماه], DA26, bargiri[سال], $DD$15,bargiri[نام مشتری], $DB$15), "")</f>
        <v/>
      </c>
    </row>
    <row r="27" spans="1:148" x14ac:dyDescent="0.6">
      <c r="A27" s="101" t="s">
        <v>122</v>
      </c>
      <c r="AN27" s="174" t="s">
        <v>120</v>
      </c>
      <c r="AO27" s="175">
        <v>420000</v>
      </c>
      <c r="AP27" s="175">
        <v>273775</v>
      </c>
      <c r="AQ27" s="175">
        <v>80000</v>
      </c>
      <c r="AR27" s="322">
        <v>1</v>
      </c>
      <c r="AS27" s="322">
        <v>31</v>
      </c>
      <c r="AT27" s="219">
        <v>1.444710757059571E-2</v>
      </c>
      <c r="AU27" s="176">
        <f t="shared" si="0"/>
        <v>0.34815476190476191</v>
      </c>
      <c r="AV27" s="177"/>
      <c r="AW27" s="177" t="s">
        <v>124</v>
      </c>
      <c r="AX27" s="221">
        <f>IFERROR(SUMIFS(invoice[میزان سفارش],invoice[سال],calc!$AX$5,invoice[نام مشتری],calc!AW27)+IFERROR(SUMIFS(invoice[میزان سفارش],invoice[سال],(calc!$AX$5)-1,invoice[نام مشتری],calc!AW27),0)-SUMIFS(bargiri[میزان بارگیری شده],bargiri[نام مشتری],calc!AW27,bargiri[سال],(calc!$AX$5)-1),"")</f>
        <v>184045</v>
      </c>
      <c r="AY27" s="177"/>
      <c r="AZ27" s="177"/>
      <c r="BU27" s="168">
        <v>1406</v>
      </c>
      <c r="CJ27" s="161" t="s">
        <v>755</v>
      </c>
      <c r="CK27" s="319">
        <v>30000</v>
      </c>
      <c r="CL27" s="319">
        <v>167500</v>
      </c>
      <c r="CM27" s="319"/>
      <c r="CN27" s="319"/>
      <c r="CO27" s="189">
        <f t="shared" si="22"/>
        <v>30000</v>
      </c>
      <c r="CP27" s="190">
        <f t="shared" si="23"/>
        <v>167500</v>
      </c>
      <c r="DA27" s="174" t="s">
        <v>297</v>
      </c>
      <c r="DB27" s="180" t="str" cm="1">
        <f t="array" ref="DB27">IFERROR(SUMPRODUCT((bargiri[نام مشتری]=$DB$15)*(bargiri[ماه]=DA27)*(bargiri[سال]=$DD$15)*(bargiri[میزان بارگیری شده])*(bargiri[فی])) /SUMIFS(bargiri[میزان بارگیری شده], bargiri[ماه], DA27, bargiri[سال], $DD$15,bargiri[نام مشتری], $DB$15), "")</f>
        <v/>
      </c>
    </row>
    <row r="28" spans="1:148" x14ac:dyDescent="0.6">
      <c r="A28" s="101" t="s">
        <v>256</v>
      </c>
      <c r="AN28" s="174" t="s">
        <v>110</v>
      </c>
      <c r="AO28" s="175">
        <v>415775</v>
      </c>
      <c r="AP28" s="175">
        <v>371290</v>
      </c>
      <c r="AQ28" s="175">
        <v>78000</v>
      </c>
      <c r="AR28" s="322">
        <v>1</v>
      </c>
      <c r="AS28" s="322">
        <v>22</v>
      </c>
      <c r="AT28" s="219">
        <v>1.9592974412880947E-2</v>
      </c>
      <c r="AU28" s="176">
        <f t="shared" si="0"/>
        <v>0.10699296494498223</v>
      </c>
      <c r="AV28" s="177"/>
      <c r="AW28" s="177" t="s">
        <v>120</v>
      </c>
      <c r="AX28" s="221">
        <f>IFERROR(SUMIFS(invoice[میزان سفارش],invoice[سال],calc!$AX$5,invoice[نام مشتری],calc!AW28)+IFERROR(SUMIFS(invoice[میزان سفارش],invoice[سال],(calc!$AX$5)-1,invoice[نام مشتری],calc!AW28),0)-SUMIFS(bargiri[میزان بارگیری شده],bargiri[نام مشتری],calc!AW28,bargiri[سال],(calc!$AX$5)-1),"")</f>
        <v>146225</v>
      </c>
      <c r="AY28" s="177"/>
      <c r="AZ28" s="177"/>
      <c r="BU28" s="168">
        <v>1407</v>
      </c>
      <c r="CJ28" s="161" t="s">
        <v>760</v>
      </c>
      <c r="CK28" s="319">
        <v>30000</v>
      </c>
      <c r="CL28" s="319">
        <v>116500</v>
      </c>
      <c r="CM28" s="319"/>
      <c r="CN28" s="319"/>
      <c r="CO28" s="189">
        <f t="shared" si="22"/>
        <v>30000</v>
      </c>
      <c r="CP28" s="190">
        <f t="shared" si="23"/>
        <v>116500</v>
      </c>
      <c r="DA28" s="174" t="s">
        <v>296</v>
      </c>
      <c r="DB28" s="180" t="str" cm="1">
        <f t="array" ref="DB28">IFERROR(SUMPRODUCT((bargiri[نام مشتری]=$DB$15)*(bargiri[ماه]=DA28)*(bargiri[سال]=$DD$15)*(bargiri[میزان بارگیری شده])*(bargiri[فی])) /SUMIFS(bargiri[میزان بارگیری شده], bargiri[ماه], DA28, bargiri[سال], $DD$15,bargiri[نام مشتری], $DB$15), "")</f>
        <v/>
      </c>
    </row>
    <row r="29" spans="1:148" x14ac:dyDescent="0.6">
      <c r="A29" s="101" t="s">
        <v>125</v>
      </c>
      <c r="AN29" s="174" t="s">
        <v>108</v>
      </c>
      <c r="AO29" s="175">
        <v>350000</v>
      </c>
      <c r="AP29" s="175">
        <v>316590</v>
      </c>
      <c r="AQ29" s="175">
        <v>73529.411764705888</v>
      </c>
      <c r="AR29" s="322">
        <v>5</v>
      </c>
      <c r="AS29" s="322">
        <v>17</v>
      </c>
      <c r="AT29" s="219">
        <v>1.6706455248926659E-2</v>
      </c>
      <c r="AU29" s="176">
        <f t="shared" si="0"/>
        <v>9.5457142857142907E-2</v>
      </c>
      <c r="AV29" s="177"/>
      <c r="AW29" s="177" t="s">
        <v>115</v>
      </c>
      <c r="AX29" s="221">
        <f>IFERROR(SUMIFS(invoice[میزان سفارش],invoice[سال],calc!$AX$5,invoice[نام مشتری],calc!AW29)+IFERROR(SUMIFS(invoice[میزان سفارش],invoice[سال],(calc!$AX$5)-1,invoice[نام مشتری],calc!AW29),0)-SUMIFS(bargiri[میزان بارگیری شده],bargiri[نام مشتری],calc!AW29,bargiri[سال],(calc!$AX$5)-1),"")</f>
        <v>45470</v>
      </c>
      <c r="AY29" s="177"/>
      <c r="AZ29" s="177"/>
      <c r="BU29" s="168"/>
      <c r="CJ29" s="161" t="s">
        <v>70</v>
      </c>
      <c r="CK29" s="319">
        <v>30000</v>
      </c>
      <c r="CL29" s="319">
        <v>92179</v>
      </c>
      <c r="CM29" s="319">
        <v>30000</v>
      </c>
      <c r="CN29" s="319">
        <v>92179</v>
      </c>
      <c r="CO29" s="189" t="str">
        <f t="shared" si="22"/>
        <v/>
      </c>
      <c r="CP29" s="190" t="str">
        <f t="shared" si="23"/>
        <v/>
      </c>
    </row>
    <row r="30" spans="1:148" x14ac:dyDescent="0.6">
      <c r="AN30" s="174" t="s">
        <v>125</v>
      </c>
      <c r="AO30" s="175">
        <v>300000</v>
      </c>
      <c r="AP30" s="175"/>
      <c r="AQ30" s="175"/>
      <c r="AR30" s="322">
        <v>2</v>
      </c>
      <c r="AS30" s="322"/>
      <c r="AT30" s="219">
        <v>0</v>
      </c>
      <c r="AU30" s="176">
        <f t="shared" si="0"/>
        <v>1</v>
      </c>
      <c r="AV30" s="177"/>
      <c r="AW30" s="177" t="s">
        <v>110</v>
      </c>
      <c r="AX30" s="221">
        <f>IFERROR(SUMIFS(invoice[میزان سفارش],invoice[سال],calc!$AX$5,invoice[نام مشتری],calc!AW30)+IFERROR(SUMIFS(invoice[میزان سفارش],invoice[سال],(calc!$AX$5)-1,invoice[نام مشتری],calc!AW30),0)-SUMIFS(bargiri[میزان بارگیری شده],bargiri[نام مشتری],calc!AW30,bargiri[سال],(calc!$AX$5)-1),"")</f>
        <v>44485</v>
      </c>
      <c r="AY30" s="177"/>
      <c r="AZ30" s="177"/>
      <c r="BU30" s="168"/>
      <c r="CJ30" s="161" t="s">
        <v>67</v>
      </c>
      <c r="CK30" s="319">
        <v>51540</v>
      </c>
      <c r="CL30" s="319">
        <v>65000</v>
      </c>
      <c r="CM30" s="319">
        <v>30065</v>
      </c>
      <c r="CN30" s="319">
        <v>65000</v>
      </c>
      <c r="CO30" s="189">
        <f t="shared" si="22"/>
        <v>21475</v>
      </c>
      <c r="CP30" s="190">
        <f t="shared" si="23"/>
        <v>65000</v>
      </c>
    </row>
    <row r="31" spans="1:148" x14ac:dyDescent="0.6">
      <c r="AN31" s="174" t="s">
        <v>100</v>
      </c>
      <c r="AO31" s="175">
        <v>300000</v>
      </c>
      <c r="AP31" s="175"/>
      <c r="AQ31" s="175"/>
      <c r="AR31" s="322">
        <v>2</v>
      </c>
      <c r="AS31" s="322"/>
      <c r="AT31" s="219">
        <v>0</v>
      </c>
      <c r="AU31" s="176">
        <f t="shared" si="0"/>
        <v>1</v>
      </c>
      <c r="AV31" s="177"/>
      <c r="AW31" s="177" t="s">
        <v>108</v>
      </c>
      <c r="AX31" s="221">
        <f>IFERROR(SUMIFS(invoice[میزان سفارش],invoice[سال],calc!$AX$5,invoice[نام مشتری],calc!AW31)+IFERROR(SUMIFS(invoice[میزان سفارش],invoice[سال],(calc!$AX$5)-1,invoice[نام مشتری],calc!AW31),0)-SUMIFS(bargiri[میزان بارگیری شده],bargiri[نام مشتری],calc!AW31,bargiri[سال],(calc!$AX$5)-1),"")</f>
        <v>33410</v>
      </c>
      <c r="AY31" s="177"/>
      <c r="AZ31" s="177"/>
      <c r="BU31" s="168"/>
      <c r="CO31" s="189"/>
      <c r="CP31" s="190"/>
    </row>
    <row r="32" spans="1:148" x14ac:dyDescent="0.6">
      <c r="AN32" s="174" t="s">
        <v>111</v>
      </c>
      <c r="AO32" s="175">
        <v>159550</v>
      </c>
      <c r="AP32" s="175">
        <v>139000</v>
      </c>
      <c r="AQ32" s="175">
        <v>80000</v>
      </c>
      <c r="AR32" s="322">
        <v>3</v>
      </c>
      <c r="AS32" s="322">
        <v>15</v>
      </c>
      <c r="AT32" s="219">
        <v>7.3350304166297274E-3</v>
      </c>
      <c r="AU32" s="176">
        <f t="shared" si="0"/>
        <v>0.12879974929489191</v>
      </c>
      <c r="AV32" s="177"/>
      <c r="AW32" s="177" t="s">
        <v>111</v>
      </c>
      <c r="AX32" s="221">
        <f>IFERROR(SUMIFS(invoice[میزان سفارش],invoice[سال],calc!$AX$5,invoice[نام مشتری],calc!AW32)+IFERROR(SUMIFS(invoice[میزان سفارش],invoice[سال],(calc!$AX$5)-1,invoice[نام مشتری],calc!AW32),0)-SUMIFS(bargiri[میزان بارگیری شده],bargiri[نام مشتری],calc!AW32,bargiri[سال],(calc!$AX$5)-1),"")</f>
        <v>20550</v>
      </c>
      <c r="AY32" s="177"/>
      <c r="AZ32" s="177"/>
      <c r="BU32" s="168"/>
      <c r="CO32" s="192"/>
      <c r="CP32" s="193"/>
    </row>
    <row r="33" spans="40:73" x14ac:dyDescent="0.6">
      <c r="AN33" s="174" t="s">
        <v>119</v>
      </c>
      <c r="AO33" s="175">
        <v>74870</v>
      </c>
      <c r="AP33" s="175">
        <v>74870</v>
      </c>
      <c r="AQ33" s="175">
        <v>76720.399999999994</v>
      </c>
      <c r="AR33" s="322">
        <v>2</v>
      </c>
      <c r="AS33" s="322">
        <v>5</v>
      </c>
      <c r="AT33" s="219">
        <v>3.9508901244105594E-3</v>
      </c>
      <c r="AU33" s="176">
        <f t="shared" si="0"/>
        <v>0</v>
      </c>
      <c r="AV33" s="177"/>
      <c r="AW33" s="177" t="s">
        <v>112</v>
      </c>
      <c r="AX33" s="221">
        <f>IFERROR(SUMIFS(invoice[میزان سفارش],invoice[سال],calc!$AX$5,invoice[نام مشتری],calc!AW33)+IFERROR(SUMIFS(invoice[میزان سفارش],invoice[سال],(calc!$AX$5)-1,invoice[نام مشتری],calc!AW33),0)-SUMIFS(bargiri[میزان بارگیری شده],bargiri[نام مشتری],calc!AW33,bargiri[سال],(calc!$AX$5)-1),"")</f>
        <v>0</v>
      </c>
      <c r="AY33" s="177"/>
      <c r="AZ33" s="177"/>
      <c r="BU33" s="168"/>
    </row>
    <row r="34" spans="40:73" x14ac:dyDescent="0.6">
      <c r="AN34" s="174" t="s">
        <v>768</v>
      </c>
      <c r="AO34" s="175">
        <v>20000</v>
      </c>
      <c r="AP34" s="175"/>
      <c r="AQ34" s="175"/>
      <c r="AR34" s="322">
        <v>1</v>
      </c>
      <c r="AS34" s="322"/>
      <c r="AT34" s="219">
        <v>0</v>
      </c>
      <c r="AU34" s="176">
        <f t="shared" si="0"/>
        <v>1</v>
      </c>
      <c r="AV34" s="177"/>
      <c r="AW34" s="177" t="s">
        <v>126</v>
      </c>
      <c r="AX34" s="221">
        <f>IFERROR(SUMIFS(invoice[میزان سفارش],invoice[سال],calc!$AX$5,invoice[نام مشتری],calc!AW34)+IFERROR(SUMIFS(invoice[میزان سفارش],invoice[سال],(calc!$AX$5)-1,invoice[نام مشتری],calc!AW34),0)-SUMIFS(bargiri[میزان بارگیری شده],bargiri[نام مشتری],calc!AW34,bargiri[سال],(calc!$AX$5)-1),"")</f>
        <v>280</v>
      </c>
      <c r="AY34" s="177"/>
      <c r="AZ34" s="177"/>
      <c r="BU34" s="168"/>
    </row>
    <row r="35" spans="40:73" x14ac:dyDescent="0.6">
      <c r="AN35" s="174" t="s">
        <v>112</v>
      </c>
      <c r="AO35" s="175">
        <v>18375</v>
      </c>
      <c r="AP35" s="175">
        <v>18375</v>
      </c>
      <c r="AQ35" s="175">
        <v>73000</v>
      </c>
      <c r="AR35" s="322">
        <v>1</v>
      </c>
      <c r="AS35" s="322">
        <v>1</v>
      </c>
      <c r="AT35" s="219">
        <v>9.6964880507605209E-4</v>
      </c>
      <c r="AU35" s="176">
        <f t="shared" si="0"/>
        <v>0</v>
      </c>
      <c r="AV35" s="177"/>
      <c r="AW35" s="177" t="s">
        <v>119</v>
      </c>
      <c r="AX35" s="221">
        <f>IFERROR(SUMIFS(invoice[میزان سفارش],invoice[سال],calc!$AX$5,invoice[نام مشتری],calc!AW35)+IFERROR(SUMIFS(invoice[میزان سفارش],invoice[سال],(calc!$AX$5)-1,invoice[نام مشتری],calc!AW35),0)-SUMIFS(bargiri[میزان بارگیری شده],bargiri[نام مشتری],calc!AW35,bargiri[سال],(calc!$AX$5)-1),"")</f>
        <v>0</v>
      </c>
      <c r="AY35" s="177"/>
      <c r="AZ35" s="177"/>
    </row>
    <row r="36" spans="40:73" x14ac:dyDescent="0.6">
      <c r="AN36" s="174" t="s">
        <v>126</v>
      </c>
      <c r="AO36" s="175">
        <v>10000</v>
      </c>
      <c r="AP36" s="175">
        <v>9720</v>
      </c>
      <c r="AQ36" s="175">
        <v>110000</v>
      </c>
      <c r="AR36" s="322">
        <v>1</v>
      </c>
      <c r="AS36" s="322">
        <v>1</v>
      </c>
      <c r="AT36" s="219">
        <v>5.1292442913410759E-4</v>
      </c>
      <c r="AU36" s="176">
        <f t="shared" si="0"/>
        <v>2.8000000000000025E-2</v>
      </c>
      <c r="AV36" s="177"/>
      <c r="AW36" s="177" t="str">
        <f t="shared" ref="AW36:AW49" si="25">IF(AN36&lt;&gt;"",AN36,"")</f>
        <v>میثاق گاز فراز کرج</v>
      </c>
      <c r="AX36" s="221">
        <f>IFERROR(SUMIFS(invoice[میزان سفارش],invoice[سال],calc!$AX$5,invoice[نام مشتری],calc!AW36)+IFERROR(SUMIFS(invoice[میزان سفارش],invoice[سال],(calc!$AX$5)-1,invoice[نام مشتری],calc!AW36),0)-SUMIFS(bargiri[میزان بارگیری شده],bargiri[نام مشتری],calc!AW36,bargiri[سال],(calc!$AX$5)-1),"")</f>
        <v>280</v>
      </c>
      <c r="AY36" s="177"/>
      <c r="AZ36" s="177"/>
    </row>
    <row r="37" spans="40:73" x14ac:dyDescent="0.6">
      <c r="AN37" s="168"/>
      <c r="AO37" s="168"/>
      <c r="AP37" s="168"/>
      <c r="AQ37" s="168"/>
      <c r="AR37" s="168"/>
      <c r="AS37" s="168"/>
      <c r="AT37" s="168"/>
      <c r="AU37" s="176" t="e">
        <f t="shared" si="0"/>
        <v>#DIV/0!</v>
      </c>
      <c r="AV37" s="177"/>
      <c r="AW37" s="177" t="str">
        <f t="shared" si="25"/>
        <v/>
      </c>
      <c r="AX37" s="221">
        <f>IFERROR(SUMIFS(invoice[میزان سفارش],invoice[سال],calc!$AX$5,invoice[نام مشتری],calc!AW37)+IFERROR(SUMIFS(invoice[میزان سفارش],invoice[سال],(calc!$AX$5)-1,invoice[نام مشتری],calc!AW37),0)-SUMIFS(bargiri[میزان بارگیری شده],bargiri[نام مشتری],calc!AW37,bargiri[سال],(calc!$AX$5)-1),"")</f>
        <v>0</v>
      </c>
      <c r="AY37" s="177"/>
      <c r="AZ37" s="177"/>
    </row>
    <row r="38" spans="40:73" x14ac:dyDescent="0.6">
      <c r="AN38" s="168"/>
      <c r="AO38" s="168"/>
      <c r="AP38" s="168"/>
      <c r="AQ38" s="168"/>
      <c r="AR38" s="168"/>
      <c r="AS38" s="168"/>
      <c r="AT38" s="168"/>
      <c r="AU38" s="176" t="e">
        <f t="shared" si="0"/>
        <v>#DIV/0!</v>
      </c>
      <c r="AV38" s="177"/>
      <c r="AW38" s="177" t="str">
        <f t="shared" si="25"/>
        <v/>
      </c>
      <c r="AX38" s="221">
        <f>IFERROR(SUMIFS(invoice[میزان سفارش],invoice[سال],calc!$AX$5,invoice[نام مشتری],calc!AW38)+IFERROR(SUMIFS(invoice[میزان سفارش],invoice[سال],(calc!$AX$5)-1,invoice[نام مشتری],calc!AW38),0)-SUMIFS(bargiri[میزان بارگیری شده],bargiri[نام مشتری],calc!AW38,bargiri[سال],(calc!$AX$5)-1),"")</f>
        <v>0</v>
      </c>
      <c r="AY38" s="177"/>
      <c r="AZ38" s="177"/>
    </row>
    <row r="39" spans="40:73" x14ac:dyDescent="0.6">
      <c r="AN39" s="168"/>
      <c r="AO39" s="168"/>
      <c r="AP39" s="168"/>
      <c r="AQ39" s="168"/>
      <c r="AR39" s="168"/>
      <c r="AS39" s="168"/>
      <c r="AT39" s="168"/>
      <c r="AU39" s="176" t="e">
        <f t="shared" si="0"/>
        <v>#DIV/0!</v>
      </c>
      <c r="AV39" s="177"/>
      <c r="AW39" s="177" t="str">
        <f t="shared" si="25"/>
        <v/>
      </c>
      <c r="AX39" s="221">
        <f>IFERROR(SUMIFS(invoice[میزان سفارش],invoice[سال],calc!$AX$5,invoice[نام مشتری],calc!AW39)+IFERROR(SUMIFS(invoice[میزان سفارش],invoice[سال],(calc!$AX$5)-1,invoice[نام مشتری],calc!AW39),0)-SUMIFS(bargiri[میزان بارگیری شده],bargiri[نام مشتری],calc!AW39,bargiri[سال],(calc!$AX$5)-1),"")</f>
        <v>0</v>
      </c>
      <c r="AY39" s="177"/>
      <c r="AZ39" s="177"/>
    </row>
    <row r="40" spans="40:73" x14ac:dyDescent="0.6">
      <c r="AN40" s="168"/>
      <c r="AO40" s="168"/>
      <c r="AP40" s="168"/>
      <c r="AQ40" s="168"/>
      <c r="AR40" s="168"/>
      <c r="AS40" s="168"/>
      <c r="AT40" s="168"/>
      <c r="AU40" s="176" t="e">
        <f t="shared" si="0"/>
        <v>#DIV/0!</v>
      </c>
      <c r="AV40" s="177"/>
      <c r="AW40" s="177" t="str">
        <f t="shared" si="25"/>
        <v/>
      </c>
      <c r="AX40" s="221">
        <f>IFERROR(SUMIFS(invoice[میزان سفارش],invoice[سال],calc!$AX$5,invoice[نام مشتری],calc!AW40)+IFERROR(SUMIFS(invoice[میزان سفارش],invoice[سال],(calc!$AX$5)-1,invoice[نام مشتری],calc!AW40),0)-SUMIFS(bargiri[میزان بارگیری شده],bargiri[نام مشتری],calc!AW40,bargiri[سال],(calc!$AX$5)-1),"")</f>
        <v>0</v>
      </c>
      <c r="AY40" s="177"/>
      <c r="AZ40" s="177"/>
    </row>
    <row r="41" spans="40:73" x14ac:dyDescent="0.6">
      <c r="AN41" s="168"/>
      <c r="AO41" s="168"/>
      <c r="AP41" s="168"/>
      <c r="AQ41" s="168"/>
      <c r="AR41" s="168"/>
      <c r="AS41" s="168"/>
      <c r="AT41" s="168"/>
      <c r="AU41" s="176" t="e">
        <f t="shared" si="0"/>
        <v>#DIV/0!</v>
      </c>
      <c r="AV41" s="177"/>
      <c r="AW41" s="177" t="str">
        <f t="shared" si="25"/>
        <v/>
      </c>
      <c r="AX41" s="221">
        <f>IFERROR(SUMIFS(invoice[میزان سفارش],invoice[سال],calc!$AX$5,invoice[نام مشتری],calc!AW41)+IFERROR(SUMIFS(invoice[میزان سفارش],invoice[سال],(calc!$AX$5)-1,invoice[نام مشتری],calc!AW41),0)-SUMIFS(bargiri[میزان بارگیری شده],bargiri[نام مشتری],calc!AW41,bargiri[سال],(calc!$AX$5)-1),"")</f>
        <v>0</v>
      </c>
      <c r="AY41" s="177"/>
      <c r="AZ41" s="177"/>
    </row>
    <row r="42" spans="40:73" x14ac:dyDescent="0.6">
      <c r="AN42" s="168"/>
      <c r="AO42" s="168"/>
      <c r="AP42" s="168"/>
      <c r="AQ42" s="168"/>
      <c r="AR42" s="168"/>
      <c r="AS42" s="168"/>
      <c r="AT42" s="168"/>
      <c r="AU42" s="176" t="e">
        <f t="shared" si="0"/>
        <v>#DIV/0!</v>
      </c>
      <c r="AV42" s="177"/>
      <c r="AW42" s="177" t="str">
        <f t="shared" si="25"/>
        <v/>
      </c>
      <c r="AX42" s="221">
        <f>IFERROR(SUMIFS(invoice[میزان سفارش],invoice[سال],calc!$AX$5,invoice[نام مشتری],calc!AW42)+IFERROR(SUMIFS(invoice[میزان سفارش],invoice[سال],(calc!$AX$5)-1,invoice[نام مشتری],calc!AW42),0)-SUMIFS(bargiri[میزان بارگیری شده],bargiri[نام مشتری],calc!AW42,bargiri[سال],(calc!$AX$5)-1),"")</f>
        <v>0</v>
      </c>
      <c r="AY42" s="177"/>
      <c r="AZ42" s="177"/>
    </row>
    <row r="43" spans="40:73" x14ac:dyDescent="0.6">
      <c r="AN43" s="168"/>
      <c r="AO43" s="168"/>
      <c r="AP43" s="168"/>
      <c r="AQ43" s="168"/>
      <c r="AR43" s="168"/>
      <c r="AS43" s="168"/>
      <c r="AT43" s="168"/>
      <c r="AU43" s="176" t="e">
        <f t="shared" si="0"/>
        <v>#DIV/0!</v>
      </c>
      <c r="AV43" s="177"/>
      <c r="AW43" s="177" t="str">
        <f t="shared" si="25"/>
        <v/>
      </c>
      <c r="AX43" s="221">
        <f>IFERROR(SUMIFS(invoice[میزان سفارش],invoice[سال],calc!$AX$5,invoice[نام مشتری],calc!AW43)+IFERROR(SUMIFS(invoice[میزان سفارش],invoice[سال],(calc!$AX$5)-1,invoice[نام مشتری],calc!AW43),0)-SUMIFS(bargiri[میزان بارگیری شده],bargiri[نام مشتری],calc!AW43,bargiri[سال],(calc!$AX$5)-1),"")</f>
        <v>0</v>
      </c>
      <c r="AY43" s="177"/>
      <c r="AZ43" s="177"/>
    </row>
    <row r="44" spans="40:73" x14ac:dyDescent="0.6">
      <c r="AN44" s="168"/>
      <c r="AO44" s="168"/>
      <c r="AP44" s="168"/>
      <c r="AQ44" s="168"/>
      <c r="AR44" s="168"/>
      <c r="AS44" s="168"/>
      <c r="AT44" s="168"/>
      <c r="AU44" s="176" t="e">
        <f t="shared" si="0"/>
        <v>#DIV/0!</v>
      </c>
      <c r="AV44" s="177"/>
      <c r="AW44" s="177" t="str">
        <f t="shared" si="25"/>
        <v/>
      </c>
      <c r="AX44" s="221">
        <f>IFERROR(SUMIFS(invoice[میزان سفارش],invoice[سال],calc!$AX$5,invoice[نام مشتری],calc!AW44)+IFERROR(SUMIFS(invoice[میزان سفارش],invoice[سال],(calc!$AX$5)-1,invoice[نام مشتری],calc!AW44),0)-SUMIFS(bargiri[میزان بارگیری شده],bargiri[نام مشتری],calc!AW44,bargiri[سال],(calc!$AX$5)-1),"")</f>
        <v>0</v>
      </c>
      <c r="AY44" s="177"/>
      <c r="AZ44" s="177"/>
    </row>
    <row r="45" spans="40:73" x14ac:dyDescent="0.6">
      <c r="AN45" s="168"/>
      <c r="AO45" s="168"/>
      <c r="AP45" s="168"/>
      <c r="AQ45" s="168"/>
      <c r="AR45" s="168"/>
      <c r="AS45" s="168"/>
      <c r="AT45" s="168"/>
      <c r="AU45" s="176" t="e">
        <f t="shared" si="0"/>
        <v>#DIV/0!</v>
      </c>
      <c r="AV45" s="177"/>
      <c r="AW45" s="177" t="str">
        <f t="shared" si="25"/>
        <v/>
      </c>
      <c r="AX45" s="221">
        <f>IFERROR(SUMIFS(invoice[میزان سفارش],invoice[سال],calc!$AX$5,invoice[نام مشتری],calc!AW45)+IFERROR(SUMIFS(invoice[میزان سفارش],invoice[سال],(calc!$AX$5)-1,invoice[نام مشتری],calc!AW45),0)-SUMIFS(bargiri[میزان بارگیری شده],bargiri[نام مشتری],calc!AW45,bargiri[سال],(calc!$AX$5)-1),"")</f>
        <v>0</v>
      </c>
      <c r="AY45" s="177"/>
      <c r="AZ45" s="177"/>
    </row>
    <row r="46" spans="40:73" x14ac:dyDescent="0.6">
      <c r="AN46" s="168"/>
      <c r="AO46" s="168"/>
      <c r="AP46" s="168"/>
      <c r="AQ46" s="168"/>
      <c r="AR46" s="168"/>
      <c r="AS46" s="168"/>
      <c r="AT46" s="168"/>
      <c r="AU46" s="176" t="e">
        <f t="shared" si="0"/>
        <v>#DIV/0!</v>
      </c>
      <c r="AV46" s="177"/>
      <c r="AW46" s="177" t="str">
        <f t="shared" si="25"/>
        <v/>
      </c>
      <c r="AX46" s="221">
        <f>IFERROR(SUMIFS(invoice[میزان سفارش],invoice[سال],calc!$AX$5,invoice[نام مشتری],calc!AW46)+IFERROR(SUMIFS(invoice[میزان سفارش],invoice[سال],(calc!$AX$5)-1,invoice[نام مشتری],calc!AW46),0)-SUMIFS(bargiri[میزان بارگیری شده],bargiri[نام مشتری],calc!AW46,bargiri[سال],(calc!$AX$5)-1),"")</f>
        <v>0</v>
      </c>
      <c r="AY46" s="177"/>
      <c r="AZ46" s="177"/>
    </row>
    <row r="47" spans="40:73" x14ac:dyDescent="0.6">
      <c r="AN47" s="168"/>
      <c r="AO47" s="168"/>
      <c r="AP47" s="168"/>
      <c r="AQ47" s="168"/>
      <c r="AR47" s="168"/>
      <c r="AS47" s="168"/>
      <c r="AT47" s="168"/>
      <c r="AU47" s="176" t="e">
        <f t="shared" si="0"/>
        <v>#DIV/0!</v>
      </c>
      <c r="AV47" s="177"/>
      <c r="AW47" s="177" t="str">
        <f t="shared" si="25"/>
        <v/>
      </c>
      <c r="AX47" s="221">
        <f>IFERROR(SUMIFS(invoice[میزان سفارش],invoice[سال],calc!$AX$5,invoice[نام مشتری],calc!AW47)+IFERROR(SUMIFS(invoice[میزان سفارش],invoice[سال],(calc!$AX$5)-1,invoice[نام مشتری],calc!AW47),0)-SUMIFS(bargiri[میزان بارگیری شده],bargiri[نام مشتری],calc!AW47,bargiri[سال],(calc!$AX$5)-1),"")</f>
        <v>0</v>
      </c>
      <c r="AY47" s="177"/>
      <c r="AZ47" s="177"/>
    </row>
    <row r="48" spans="40:73" x14ac:dyDescent="0.6">
      <c r="AN48" s="168"/>
      <c r="AO48" s="168"/>
      <c r="AP48" s="168"/>
      <c r="AQ48" s="168"/>
      <c r="AR48" s="168"/>
      <c r="AS48" s="168"/>
      <c r="AT48" s="168"/>
      <c r="AU48" s="176" t="e">
        <f t="shared" si="0"/>
        <v>#DIV/0!</v>
      </c>
      <c r="AV48" s="177"/>
      <c r="AW48" s="177" t="str">
        <f t="shared" si="25"/>
        <v/>
      </c>
      <c r="AX48" s="221">
        <f>IFERROR(SUMIFS(invoice[میزان سفارش],invoice[سال],calc!$AX$5,invoice[نام مشتری],calc!AW48)+IFERROR(SUMIFS(invoice[میزان سفارش],invoice[سال],(calc!$AX$5)-1,invoice[نام مشتری],calc!AW48),0)-SUMIFS(bargiri[میزان بارگیری شده],bargiri[نام مشتری],calc!AW48,bargiri[سال],(calc!$AX$5)-1),"")</f>
        <v>0</v>
      </c>
      <c r="AY48" s="177"/>
      <c r="AZ48" s="177"/>
    </row>
    <row r="49" spans="40:52" x14ac:dyDescent="0.6">
      <c r="AN49" s="168"/>
      <c r="AO49" s="168"/>
      <c r="AP49" s="168"/>
      <c r="AQ49" s="168"/>
      <c r="AR49" s="168"/>
      <c r="AS49" s="168"/>
      <c r="AT49" s="168"/>
      <c r="AU49" s="176" t="e">
        <f t="shared" si="0"/>
        <v>#DIV/0!</v>
      </c>
      <c r="AV49" s="177"/>
      <c r="AW49" s="177" t="str">
        <f t="shared" si="25"/>
        <v/>
      </c>
      <c r="AX49" s="221">
        <f>IFERROR(SUMIFS(invoice[میزان سفارش],invoice[سال],calc!$AX$5,invoice[نام مشتری],calc!AW49)+IFERROR(SUMIFS(invoice[میزان سفارش],invoice[سال],(calc!$AX$5)-1,invoice[نام مشتری],calc!AW49),0)-SUMIFS(bargiri[میزان بارگیری شده],bargiri[نام مشتری],calc!AW49,bargiri[سال],(calc!$AX$5)-1),"")</f>
        <v>0</v>
      </c>
      <c r="AY49" s="177"/>
      <c r="AZ49" s="177"/>
    </row>
    <row r="50" spans="40:52" x14ac:dyDescent="0.6">
      <c r="AN50" s="168"/>
      <c r="AO50" s="168"/>
      <c r="AP50" s="168"/>
      <c r="AQ50" s="168"/>
      <c r="AR50" s="168"/>
      <c r="AS50" s="168"/>
      <c r="AT50" s="168"/>
      <c r="AU50" s="176" t="e">
        <f t="shared" si="0"/>
        <v>#DIV/0!</v>
      </c>
      <c r="AV50" s="177"/>
      <c r="AW50" s="177"/>
      <c r="AX50" s="177"/>
      <c r="AY50" s="177"/>
      <c r="AZ50" s="177"/>
    </row>
    <row r="51" spans="40:52" x14ac:dyDescent="0.6">
      <c r="AN51" s="168"/>
      <c r="AO51" s="168"/>
      <c r="AP51" s="168"/>
      <c r="AQ51" s="168"/>
      <c r="AR51" s="168"/>
      <c r="AS51" s="168"/>
      <c r="AT51" s="168"/>
      <c r="AU51" s="176" t="e">
        <f t="shared" si="0"/>
        <v>#DIV/0!</v>
      </c>
      <c r="AV51" s="177"/>
      <c r="AW51" s="177"/>
      <c r="AX51" s="177"/>
      <c r="AY51" s="177"/>
      <c r="AZ51" s="177"/>
    </row>
    <row r="52" spans="40:52" x14ac:dyDescent="0.6">
      <c r="AN52" s="168"/>
      <c r="AO52" s="168"/>
      <c r="AP52" s="168"/>
      <c r="AQ52" s="168"/>
      <c r="AR52" s="168"/>
      <c r="AS52" s="168"/>
      <c r="AT52" s="168"/>
      <c r="AU52" s="176" t="e">
        <f t="shared" si="0"/>
        <v>#DIV/0!</v>
      </c>
      <c r="AV52" s="177"/>
      <c r="AW52" s="177"/>
      <c r="AX52" s="177"/>
      <c r="AY52" s="177"/>
      <c r="AZ52" s="177"/>
    </row>
    <row r="53" spans="40:52" x14ac:dyDescent="0.6">
      <c r="AN53" s="168"/>
      <c r="AO53" s="168"/>
      <c r="AP53" s="168"/>
      <c r="AQ53" s="168"/>
      <c r="AR53" s="168"/>
      <c r="AS53" s="168"/>
      <c r="AT53" s="168"/>
      <c r="AU53" s="176" t="e">
        <f t="shared" si="0"/>
        <v>#DIV/0!</v>
      </c>
      <c r="AV53" s="177"/>
      <c r="AW53" s="177"/>
      <c r="AX53" s="177"/>
      <c r="AY53" s="177"/>
      <c r="AZ53" s="177"/>
    </row>
    <row r="54" spans="40:52" x14ac:dyDescent="0.6">
      <c r="AN54" s="168"/>
      <c r="AO54" s="168"/>
      <c r="AP54" s="168"/>
      <c r="AQ54" s="168"/>
      <c r="AR54" s="168"/>
      <c r="AS54" s="168"/>
      <c r="AT54" s="168"/>
      <c r="AU54" s="176" t="e">
        <f t="shared" si="0"/>
        <v>#DIV/0!</v>
      </c>
      <c r="AV54" s="177"/>
      <c r="AW54" s="177"/>
      <c r="AX54" s="177"/>
      <c r="AY54" s="177"/>
      <c r="AZ54" s="177"/>
    </row>
    <row r="55" spans="40:52" x14ac:dyDescent="0.6">
      <c r="AN55" s="168"/>
      <c r="AO55" s="168"/>
      <c r="AP55" s="168"/>
      <c r="AQ55" s="168"/>
      <c r="AR55" s="168"/>
      <c r="AS55" s="168"/>
      <c r="AT55" s="168"/>
      <c r="AU55" s="176" t="e">
        <f t="shared" si="0"/>
        <v>#DIV/0!</v>
      </c>
      <c r="AV55" s="177"/>
      <c r="AW55" s="177"/>
      <c r="AX55" s="177"/>
      <c r="AY55" s="177"/>
      <c r="AZ55" s="177"/>
    </row>
    <row r="56" spans="40:52" x14ac:dyDescent="0.6">
      <c r="AN56" s="168"/>
      <c r="AO56" s="168"/>
      <c r="AP56" s="168"/>
      <c r="AQ56" s="168"/>
      <c r="AR56" s="168"/>
      <c r="AS56" s="168"/>
      <c r="AT56" s="168"/>
      <c r="AU56" s="176" t="e">
        <f t="shared" si="0"/>
        <v>#DIV/0!</v>
      </c>
      <c r="AV56" s="177"/>
      <c r="AW56" s="177"/>
      <c r="AX56" s="177"/>
      <c r="AY56" s="177"/>
      <c r="AZ56" s="177"/>
    </row>
    <row r="57" spans="40:52" x14ac:dyDescent="0.6">
      <c r="AN57" s="168"/>
      <c r="AO57" s="168"/>
      <c r="AP57" s="168"/>
      <c r="AQ57" s="168"/>
      <c r="AR57" s="168"/>
      <c r="AS57" s="168"/>
      <c r="AT57" s="168"/>
      <c r="AU57" s="176" t="e">
        <f t="shared" si="0"/>
        <v>#DIV/0!</v>
      </c>
      <c r="AV57" s="177"/>
      <c r="AW57" s="177"/>
      <c r="AX57" s="177"/>
      <c r="AY57" s="177"/>
      <c r="AZ57" s="177"/>
    </row>
    <row r="58" spans="40:52" x14ac:dyDescent="0.6">
      <c r="AN58" s="168"/>
      <c r="AO58" s="168"/>
      <c r="AP58" s="168"/>
      <c r="AQ58" s="168"/>
      <c r="AR58" s="168"/>
      <c r="AS58" s="168"/>
      <c r="AT58" s="168"/>
      <c r="AU58" s="176" t="e">
        <f t="shared" si="0"/>
        <v>#DIV/0!</v>
      </c>
      <c r="AV58" s="177"/>
      <c r="AW58" s="177"/>
      <c r="AX58" s="177"/>
      <c r="AY58" s="177"/>
      <c r="AZ58" s="177"/>
    </row>
    <row r="59" spans="40:52" x14ac:dyDescent="0.6">
      <c r="AN59" s="168"/>
      <c r="AO59" s="168"/>
      <c r="AP59" s="168"/>
      <c r="AQ59" s="168"/>
      <c r="AR59" s="168"/>
      <c r="AS59" s="168"/>
      <c r="AT59" s="168"/>
      <c r="AU59" s="176" t="e">
        <f t="shared" si="0"/>
        <v>#DIV/0!</v>
      </c>
      <c r="AV59" s="177"/>
      <c r="AW59" s="177"/>
      <c r="AX59" s="177"/>
      <c r="AY59" s="177"/>
      <c r="AZ59" s="177"/>
    </row>
    <row r="60" spans="40:52" x14ac:dyDescent="0.6">
      <c r="AN60" s="168"/>
      <c r="AO60" s="168"/>
      <c r="AP60" s="168"/>
      <c r="AQ60" s="168"/>
      <c r="AR60" s="168"/>
      <c r="AS60" s="168"/>
      <c r="AT60" s="168"/>
      <c r="AU60" s="176" t="e">
        <f t="shared" si="0"/>
        <v>#DIV/0!</v>
      </c>
      <c r="AV60" s="177"/>
      <c r="AW60" s="177"/>
      <c r="AX60" s="177"/>
      <c r="AY60" s="177"/>
      <c r="AZ60" s="177"/>
    </row>
    <row r="61" spans="40:52" x14ac:dyDescent="0.6">
      <c r="AN61" s="168"/>
      <c r="AO61" s="168"/>
      <c r="AP61" s="168"/>
      <c r="AQ61" s="168"/>
      <c r="AR61" s="168"/>
      <c r="AS61" s="168"/>
      <c r="AT61" s="168"/>
      <c r="AU61" s="176" t="e">
        <f t="shared" si="0"/>
        <v>#DIV/0!</v>
      </c>
      <c r="AV61" s="177"/>
      <c r="AW61" s="177"/>
      <c r="AX61" s="177"/>
      <c r="AY61" s="177"/>
      <c r="AZ61" s="177"/>
    </row>
    <row r="62" spans="40:52" x14ac:dyDescent="0.6">
      <c r="AN62" s="168"/>
      <c r="AO62" s="168"/>
      <c r="AP62" s="168"/>
      <c r="AQ62" s="168"/>
      <c r="AR62" s="168"/>
      <c r="AS62" s="168"/>
      <c r="AT62" s="168"/>
      <c r="AU62" s="176" t="e">
        <f t="shared" si="0"/>
        <v>#DIV/0!</v>
      </c>
      <c r="AV62" s="177"/>
      <c r="AW62" s="177"/>
      <c r="AX62" s="177"/>
      <c r="AY62" s="177"/>
      <c r="AZ62" s="177"/>
    </row>
    <row r="63" spans="40:52" x14ac:dyDescent="0.6">
      <c r="AN63" s="168"/>
      <c r="AO63" s="168"/>
      <c r="AP63" s="168"/>
      <c r="AQ63" s="168"/>
      <c r="AR63" s="168"/>
      <c r="AS63" s="168"/>
      <c r="AT63" s="168"/>
      <c r="AU63" s="176" t="e">
        <f t="shared" si="0"/>
        <v>#DIV/0!</v>
      </c>
      <c r="AV63" s="177"/>
      <c r="AW63" s="177"/>
      <c r="AX63" s="177"/>
      <c r="AY63" s="177"/>
      <c r="AZ63" s="177"/>
    </row>
    <row r="64" spans="40:52" x14ac:dyDescent="0.6">
      <c r="AN64" s="168"/>
      <c r="AO64" s="168"/>
      <c r="AP64" s="168"/>
      <c r="AQ64" s="168"/>
      <c r="AR64" s="168"/>
      <c r="AS64" s="168"/>
      <c r="AT64" s="168"/>
      <c r="AU64" s="176" t="e">
        <f t="shared" si="0"/>
        <v>#DIV/0!</v>
      </c>
      <c r="AV64" s="177"/>
      <c r="AW64" s="177"/>
      <c r="AX64" s="177"/>
      <c r="AY64" s="177"/>
      <c r="AZ64" s="177"/>
    </row>
    <row r="65" spans="40:52" x14ac:dyDescent="0.6">
      <c r="AN65" s="168"/>
      <c r="AO65" s="168"/>
      <c r="AP65" s="168"/>
      <c r="AQ65" s="168"/>
      <c r="AR65" s="168"/>
      <c r="AS65" s="168"/>
      <c r="AT65" s="168"/>
      <c r="AU65" s="176" t="e">
        <f t="shared" si="0"/>
        <v>#DIV/0!</v>
      </c>
      <c r="AV65" s="177"/>
      <c r="AW65" s="177"/>
      <c r="AX65" s="177"/>
      <c r="AY65" s="177"/>
      <c r="AZ65" s="177"/>
    </row>
    <row r="66" spans="40:52" x14ac:dyDescent="0.6">
      <c r="AN66" s="168"/>
      <c r="AO66" s="168"/>
      <c r="AP66" s="168"/>
      <c r="AQ66" s="168"/>
      <c r="AR66" s="168"/>
      <c r="AS66" s="168"/>
      <c r="AT66" s="168"/>
      <c r="AU66" s="176" t="e">
        <f t="shared" si="0"/>
        <v>#DIV/0!</v>
      </c>
      <c r="AV66" s="177"/>
      <c r="AW66" s="177"/>
      <c r="AX66" s="177"/>
      <c r="AY66" s="177"/>
      <c r="AZ66" s="177"/>
    </row>
    <row r="67" spans="40:52" x14ac:dyDescent="0.6">
      <c r="AN67" s="168"/>
      <c r="AO67" s="168"/>
      <c r="AP67" s="168"/>
      <c r="AQ67" s="168"/>
      <c r="AR67" s="168"/>
      <c r="AS67" s="168"/>
      <c r="AT67" s="168"/>
      <c r="AU67" s="176" t="e">
        <f t="shared" si="0"/>
        <v>#DIV/0!</v>
      </c>
      <c r="AV67" s="177"/>
      <c r="AW67" s="177"/>
      <c r="AX67" s="177"/>
      <c r="AY67" s="177"/>
      <c r="AZ67" s="177"/>
    </row>
    <row r="68" spans="40:52" x14ac:dyDescent="0.6">
      <c r="AN68" s="168"/>
      <c r="AO68" s="168"/>
      <c r="AP68" s="168"/>
      <c r="AQ68" s="168"/>
      <c r="AR68" s="168"/>
      <c r="AS68" s="168"/>
      <c r="AT68" s="168"/>
      <c r="AU68" s="176" t="e">
        <f t="shared" si="0"/>
        <v>#DIV/0!</v>
      </c>
      <c r="AV68" s="177"/>
      <c r="AW68" s="177"/>
      <c r="AX68" s="177"/>
      <c r="AY68" s="177"/>
      <c r="AZ68" s="177"/>
    </row>
    <row r="69" spans="40:52" x14ac:dyDescent="0.6">
      <c r="AN69" s="168"/>
      <c r="AO69" s="168"/>
      <c r="AP69" s="168"/>
      <c r="AQ69" s="168"/>
      <c r="AR69" s="168"/>
      <c r="AS69" s="168"/>
      <c r="AT69" s="168"/>
      <c r="AU69" s="176" t="e">
        <f t="shared" si="0"/>
        <v>#DIV/0!</v>
      </c>
      <c r="AV69" s="177"/>
      <c r="AW69" s="177"/>
      <c r="AX69" s="177"/>
      <c r="AY69" s="177"/>
      <c r="AZ69" s="177"/>
    </row>
    <row r="70" spans="40:52" x14ac:dyDescent="0.6">
      <c r="AN70" s="168"/>
      <c r="AO70" s="168"/>
      <c r="AP70" s="168"/>
      <c r="AQ70" s="168"/>
      <c r="AR70" s="168"/>
      <c r="AS70" s="168"/>
      <c r="AT70" s="168"/>
      <c r="AU70" s="176" t="e">
        <f t="shared" si="0"/>
        <v>#DIV/0!</v>
      </c>
      <c r="AV70" s="177"/>
      <c r="AW70" s="177"/>
      <c r="AX70" s="177"/>
      <c r="AY70" s="177"/>
      <c r="AZ70" s="177"/>
    </row>
    <row r="71" spans="40:52" x14ac:dyDescent="0.6">
      <c r="AN71" s="168"/>
      <c r="AO71" s="168"/>
      <c r="AP71" s="168"/>
      <c r="AQ71" s="168"/>
      <c r="AR71" s="168"/>
      <c r="AS71" s="168"/>
      <c r="AT71" s="168"/>
      <c r="AU71" s="176" t="e">
        <f t="shared" si="0"/>
        <v>#DIV/0!</v>
      </c>
      <c r="AV71" s="177"/>
      <c r="AW71" s="177"/>
      <c r="AX71" s="177"/>
      <c r="AY71" s="177"/>
      <c r="AZ71" s="177"/>
    </row>
    <row r="72" spans="40:52" x14ac:dyDescent="0.6">
      <c r="AN72" s="168"/>
      <c r="AO72" s="168"/>
      <c r="AP72" s="168"/>
      <c r="AQ72" s="168"/>
      <c r="AR72" s="168"/>
      <c r="AS72" s="168"/>
      <c r="AT72" s="168"/>
      <c r="AU72" s="176" t="e">
        <f t="shared" ref="AU72:AU129" si="26">1-(AP72/AO72)</f>
        <v>#DIV/0!</v>
      </c>
      <c r="AV72" s="177"/>
      <c r="AW72" s="177"/>
      <c r="AX72" s="177"/>
      <c r="AY72" s="177"/>
      <c r="AZ72" s="177"/>
    </row>
    <row r="73" spans="40:52" x14ac:dyDescent="0.6">
      <c r="AN73" s="168"/>
      <c r="AO73" s="168"/>
      <c r="AP73" s="168"/>
      <c r="AQ73" s="168"/>
      <c r="AR73" s="168"/>
      <c r="AS73" s="168"/>
      <c r="AT73" s="168"/>
      <c r="AU73" s="176" t="e">
        <f t="shared" si="26"/>
        <v>#DIV/0!</v>
      </c>
      <c r="AV73" s="177"/>
      <c r="AW73" s="177"/>
      <c r="AX73" s="177"/>
      <c r="AY73" s="177"/>
      <c r="AZ73" s="177"/>
    </row>
    <row r="74" spans="40:52" x14ac:dyDescent="0.6">
      <c r="AN74" s="168"/>
      <c r="AO74" s="168"/>
      <c r="AP74" s="168"/>
      <c r="AQ74" s="168"/>
      <c r="AR74" s="168"/>
      <c r="AS74" s="168"/>
      <c r="AT74" s="168"/>
      <c r="AU74" s="176" t="e">
        <f t="shared" si="26"/>
        <v>#DIV/0!</v>
      </c>
      <c r="AV74" s="177"/>
      <c r="AW74" s="177"/>
      <c r="AX74" s="177"/>
      <c r="AY74" s="177"/>
      <c r="AZ74" s="177"/>
    </row>
    <row r="75" spans="40:52" x14ac:dyDescent="0.6">
      <c r="AN75" s="168"/>
      <c r="AO75" s="168"/>
      <c r="AP75" s="168"/>
      <c r="AQ75" s="168"/>
      <c r="AR75" s="168"/>
      <c r="AS75" s="168"/>
      <c r="AT75" s="168"/>
      <c r="AU75" s="176" t="e">
        <f t="shared" si="26"/>
        <v>#DIV/0!</v>
      </c>
      <c r="AV75" s="177"/>
      <c r="AW75" s="177"/>
      <c r="AX75" s="177"/>
      <c r="AY75" s="177"/>
      <c r="AZ75" s="177"/>
    </row>
    <row r="76" spans="40:52" x14ac:dyDescent="0.6">
      <c r="AN76" s="168"/>
      <c r="AO76" s="168"/>
      <c r="AP76" s="168"/>
      <c r="AQ76" s="168"/>
      <c r="AR76" s="168"/>
      <c r="AS76" s="168"/>
      <c r="AT76" s="168"/>
      <c r="AU76" s="176" t="e">
        <f t="shared" si="26"/>
        <v>#DIV/0!</v>
      </c>
      <c r="AV76" s="177"/>
      <c r="AW76" s="177"/>
      <c r="AX76" s="177"/>
      <c r="AY76" s="177"/>
      <c r="AZ76" s="177"/>
    </row>
    <row r="77" spans="40:52" x14ac:dyDescent="0.6">
      <c r="AN77" s="168"/>
      <c r="AO77" s="168"/>
      <c r="AP77" s="168"/>
      <c r="AQ77" s="168"/>
      <c r="AR77" s="168"/>
      <c r="AS77" s="168"/>
      <c r="AT77" s="168"/>
      <c r="AU77" s="176" t="e">
        <f t="shared" si="26"/>
        <v>#DIV/0!</v>
      </c>
      <c r="AV77" s="177"/>
      <c r="AW77" s="177"/>
      <c r="AX77" s="177"/>
      <c r="AY77" s="177"/>
      <c r="AZ77" s="177"/>
    </row>
    <row r="78" spans="40:52" x14ac:dyDescent="0.6">
      <c r="AN78" s="168"/>
      <c r="AO78" s="168"/>
      <c r="AP78" s="168"/>
      <c r="AQ78" s="168"/>
      <c r="AR78" s="168"/>
      <c r="AS78" s="168"/>
      <c r="AT78" s="168"/>
      <c r="AU78" s="176" t="e">
        <f t="shared" si="26"/>
        <v>#DIV/0!</v>
      </c>
      <c r="AV78" s="177"/>
      <c r="AW78" s="177"/>
      <c r="AX78" s="177"/>
      <c r="AY78" s="177"/>
      <c r="AZ78" s="177"/>
    </row>
    <row r="79" spans="40:52" x14ac:dyDescent="0.6">
      <c r="AN79" s="168"/>
      <c r="AO79" s="168"/>
      <c r="AP79" s="168"/>
      <c r="AQ79" s="168"/>
      <c r="AR79" s="168"/>
      <c r="AS79" s="168"/>
      <c r="AT79" s="168"/>
      <c r="AU79" s="176" t="e">
        <f t="shared" si="26"/>
        <v>#DIV/0!</v>
      </c>
      <c r="AV79" s="177"/>
      <c r="AW79" s="177"/>
      <c r="AX79" s="177"/>
      <c r="AY79" s="177"/>
      <c r="AZ79" s="177"/>
    </row>
    <row r="80" spans="40:52" x14ac:dyDescent="0.6">
      <c r="AN80" s="168"/>
      <c r="AO80" s="168"/>
      <c r="AP80" s="168"/>
      <c r="AQ80" s="168"/>
      <c r="AR80" s="168"/>
      <c r="AS80" s="168"/>
      <c r="AT80" s="168"/>
      <c r="AU80" s="176" t="e">
        <f t="shared" si="26"/>
        <v>#DIV/0!</v>
      </c>
      <c r="AV80" s="177"/>
      <c r="AW80" s="177"/>
      <c r="AX80" s="177"/>
      <c r="AY80" s="177"/>
      <c r="AZ80" s="177"/>
    </row>
    <row r="81" spans="40:52" x14ac:dyDescent="0.6">
      <c r="AN81" s="168"/>
      <c r="AO81" s="168"/>
      <c r="AP81" s="168"/>
      <c r="AQ81" s="168"/>
      <c r="AR81" s="168"/>
      <c r="AS81" s="168"/>
      <c r="AT81" s="168"/>
      <c r="AU81" s="176" t="e">
        <f t="shared" si="26"/>
        <v>#DIV/0!</v>
      </c>
      <c r="AV81" s="177"/>
      <c r="AW81" s="177"/>
      <c r="AX81" s="177"/>
      <c r="AY81" s="177"/>
      <c r="AZ81" s="177"/>
    </row>
    <row r="82" spans="40:52" x14ac:dyDescent="0.6">
      <c r="AN82" s="168"/>
      <c r="AO82" s="168"/>
      <c r="AP82" s="168"/>
      <c r="AQ82" s="168"/>
      <c r="AR82" s="168"/>
      <c r="AS82" s="168"/>
      <c r="AT82" s="168"/>
      <c r="AU82" s="176" t="e">
        <f t="shared" si="26"/>
        <v>#DIV/0!</v>
      </c>
      <c r="AV82" s="177"/>
      <c r="AW82" s="177"/>
      <c r="AX82" s="177"/>
      <c r="AY82" s="177"/>
      <c r="AZ82" s="177"/>
    </row>
    <row r="83" spans="40:52" x14ac:dyDescent="0.6">
      <c r="AN83" s="168"/>
      <c r="AO83" s="168"/>
      <c r="AP83" s="168"/>
      <c r="AQ83" s="168"/>
      <c r="AR83" s="168"/>
      <c r="AS83" s="168"/>
      <c r="AT83" s="168"/>
      <c r="AU83" s="176" t="e">
        <f t="shared" si="26"/>
        <v>#DIV/0!</v>
      </c>
      <c r="AV83" s="177"/>
      <c r="AW83" s="177"/>
      <c r="AX83" s="177"/>
      <c r="AY83" s="177"/>
      <c r="AZ83" s="177"/>
    </row>
    <row r="84" spans="40:52" x14ac:dyDescent="0.6">
      <c r="AN84" s="168"/>
      <c r="AO84" s="168"/>
      <c r="AP84" s="168"/>
      <c r="AQ84" s="168"/>
      <c r="AR84" s="168"/>
      <c r="AS84" s="168"/>
      <c r="AT84" s="168"/>
      <c r="AU84" s="176" t="e">
        <f t="shared" si="26"/>
        <v>#DIV/0!</v>
      </c>
      <c r="AV84" s="177"/>
      <c r="AW84" s="177"/>
      <c r="AX84" s="177"/>
      <c r="AY84" s="177"/>
      <c r="AZ84" s="177"/>
    </row>
    <row r="85" spans="40:52" x14ac:dyDescent="0.6">
      <c r="AN85" s="168"/>
      <c r="AO85" s="168"/>
      <c r="AP85" s="168"/>
      <c r="AQ85" s="168"/>
      <c r="AR85" s="168"/>
      <c r="AS85" s="168"/>
      <c r="AT85" s="168"/>
      <c r="AU85" s="176" t="e">
        <f t="shared" si="26"/>
        <v>#DIV/0!</v>
      </c>
      <c r="AV85" s="177"/>
      <c r="AW85" s="177"/>
      <c r="AX85" s="177"/>
      <c r="AY85" s="177"/>
      <c r="AZ85" s="177"/>
    </row>
    <row r="86" spans="40:52" x14ac:dyDescent="0.6">
      <c r="AN86" s="168"/>
      <c r="AO86" s="168"/>
      <c r="AP86" s="168"/>
      <c r="AQ86" s="168"/>
      <c r="AR86" s="168"/>
      <c r="AS86" s="168"/>
      <c r="AT86" s="168"/>
      <c r="AU86" s="176" t="e">
        <f t="shared" si="26"/>
        <v>#DIV/0!</v>
      </c>
      <c r="AV86" s="177"/>
      <c r="AW86" s="177"/>
      <c r="AX86" s="177"/>
      <c r="AY86" s="177"/>
      <c r="AZ86" s="177"/>
    </row>
    <row r="87" spans="40:52" x14ac:dyDescent="0.6">
      <c r="AN87" s="168"/>
      <c r="AO87" s="168"/>
      <c r="AP87" s="168"/>
      <c r="AQ87" s="168"/>
      <c r="AR87" s="168"/>
      <c r="AS87" s="168"/>
      <c r="AT87" s="168"/>
      <c r="AU87" s="176" t="e">
        <f t="shared" si="26"/>
        <v>#DIV/0!</v>
      </c>
      <c r="AV87" s="177"/>
      <c r="AW87" s="177"/>
      <c r="AX87" s="177"/>
      <c r="AY87" s="177"/>
      <c r="AZ87" s="177"/>
    </row>
    <row r="88" spans="40:52" x14ac:dyDescent="0.6">
      <c r="AN88" s="168"/>
      <c r="AO88" s="168"/>
      <c r="AP88" s="168"/>
      <c r="AQ88" s="168"/>
      <c r="AR88" s="168"/>
      <c r="AS88" s="168"/>
      <c r="AT88" s="168"/>
      <c r="AU88" s="176" t="e">
        <f t="shared" si="26"/>
        <v>#DIV/0!</v>
      </c>
      <c r="AV88" s="177"/>
      <c r="AW88" s="177"/>
      <c r="AX88" s="177"/>
      <c r="AY88" s="177"/>
      <c r="AZ88" s="177"/>
    </row>
    <row r="89" spans="40:52" x14ac:dyDescent="0.6">
      <c r="AN89" s="168"/>
      <c r="AO89" s="168"/>
      <c r="AP89" s="168"/>
      <c r="AQ89" s="168"/>
      <c r="AR89" s="168"/>
      <c r="AS89" s="168"/>
      <c r="AT89" s="168"/>
      <c r="AU89" s="176" t="e">
        <f t="shared" si="26"/>
        <v>#DIV/0!</v>
      </c>
      <c r="AV89" s="177"/>
      <c r="AW89" s="177"/>
      <c r="AX89" s="177"/>
      <c r="AY89" s="177"/>
      <c r="AZ89" s="177"/>
    </row>
    <row r="90" spans="40:52" x14ac:dyDescent="0.6">
      <c r="AN90" s="168"/>
      <c r="AO90" s="168"/>
      <c r="AP90" s="168"/>
      <c r="AQ90" s="168"/>
      <c r="AR90" s="168"/>
      <c r="AS90" s="168"/>
      <c r="AT90" s="168"/>
      <c r="AU90" s="176" t="e">
        <f t="shared" si="26"/>
        <v>#DIV/0!</v>
      </c>
      <c r="AV90" s="177"/>
      <c r="AW90" s="177"/>
      <c r="AX90" s="177"/>
      <c r="AY90" s="177"/>
      <c r="AZ90" s="177"/>
    </row>
    <row r="91" spans="40:52" x14ac:dyDescent="0.6">
      <c r="AN91" s="168"/>
      <c r="AO91" s="168"/>
      <c r="AP91" s="168"/>
      <c r="AQ91" s="168"/>
      <c r="AR91" s="168"/>
      <c r="AS91" s="168"/>
      <c r="AT91" s="168"/>
      <c r="AU91" s="176" t="e">
        <f t="shared" si="26"/>
        <v>#DIV/0!</v>
      </c>
      <c r="AV91" s="177"/>
      <c r="AW91" s="177"/>
      <c r="AX91" s="177"/>
      <c r="AY91" s="177"/>
      <c r="AZ91" s="177"/>
    </row>
    <row r="92" spans="40:52" x14ac:dyDescent="0.6">
      <c r="AN92" s="168"/>
      <c r="AO92" s="168"/>
      <c r="AP92" s="168"/>
      <c r="AQ92" s="168"/>
      <c r="AR92" s="168"/>
      <c r="AS92" s="168"/>
      <c r="AT92" s="168"/>
      <c r="AU92" s="176" t="e">
        <f t="shared" si="26"/>
        <v>#DIV/0!</v>
      </c>
      <c r="AV92" s="177"/>
      <c r="AW92" s="177"/>
      <c r="AX92" s="177"/>
      <c r="AY92" s="177"/>
      <c r="AZ92" s="177"/>
    </row>
    <row r="93" spans="40:52" x14ac:dyDescent="0.6">
      <c r="AN93" s="168"/>
      <c r="AO93" s="168"/>
      <c r="AP93" s="168"/>
      <c r="AQ93" s="168"/>
      <c r="AR93" s="168"/>
      <c r="AS93" s="168"/>
      <c r="AT93" s="168"/>
      <c r="AU93" s="176" t="e">
        <f t="shared" si="26"/>
        <v>#DIV/0!</v>
      </c>
      <c r="AV93" s="177"/>
      <c r="AW93" s="177"/>
      <c r="AX93" s="177"/>
      <c r="AY93" s="177"/>
      <c r="AZ93" s="177"/>
    </row>
    <row r="94" spans="40:52" x14ac:dyDescent="0.6">
      <c r="AN94" s="168"/>
      <c r="AO94" s="168"/>
      <c r="AP94" s="168"/>
      <c r="AQ94" s="168"/>
      <c r="AR94" s="168"/>
      <c r="AS94" s="168"/>
      <c r="AT94" s="168"/>
      <c r="AU94" s="176" t="e">
        <f t="shared" si="26"/>
        <v>#DIV/0!</v>
      </c>
      <c r="AV94" s="177"/>
      <c r="AW94" s="177"/>
      <c r="AX94" s="177"/>
      <c r="AY94" s="177"/>
      <c r="AZ94" s="177"/>
    </row>
    <row r="95" spans="40:52" x14ac:dyDescent="0.6">
      <c r="AN95" s="168"/>
      <c r="AO95" s="168"/>
      <c r="AP95" s="168"/>
      <c r="AQ95" s="168"/>
      <c r="AR95" s="168"/>
      <c r="AS95" s="168"/>
      <c r="AT95" s="168"/>
      <c r="AU95" s="176" t="e">
        <f t="shared" si="26"/>
        <v>#DIV/0!</v>
      </c>
      <c r="AV95" s="177"/>
      <c r="AW95" s="177"/>
      <c r="AX95" s="177"/>
      <c r="AY95" s="177"/>
      <c r="AZ95" s="177"/>
    </row>
    <row r="96" spans="40:52" x14ac:dyDescent="0.6">
      <c r="AN96" s="168"/>
      <c r="AO96" s="168"/>
      <c r="AP96" s="168"/>
      <c r="AQ96" s="168"/>
      <c r="AR96" s="168"/>
      <c r="AS96" s="168"/>
      <c r="AT96" s="168"/>
      <c r="AU96" s="176" t="e">
        <f t="shared" si="26"/>
        <v>#DIV/0!</v>
      </c>
      <c r="AV96" s="177"/>
      <c r="AW96" s="177"/>
      <c r="AX96" s="177"/>
      <c r="AY96" s="177"/>
      <c r="AZ96" s="177"/>
    </row>
    <row r="97" spans="40:52" x14ac:dyDescent="0.6">
      <c r="AN97" s="168"/>
      <c r="AO97" s="168"/>
      <c r="AP97" s="168"/>
      <c r="AQ97" s="168"/>
      <c r="AR97" s="168"/>
      <c r="AS97" s="168"/>
      <c r="AT97" s="168"/>
      <c r="AU97" s="176" t="e">
        <f t="shared" si="26"/>
        <v>#DIV/0!</v>
      </c>
      <c r="AV97" s="177"/>
      <c r="AW97" s="177"/>
      <c r="AX97" s="177"/>
      <c r="AY97" s="177"/>
      <c r="AZ97" s="177"/>
    </row>
    <row r="98" spans="40:52" x14ac:dyDescent="0.6">
      <c r="AN98" s="168"/>
      <c r="AO98" s="168"/>
      <c r="AP98" s="168"/>
      <c r="AQ98" s="168"/>
      <c r="AR98" s="168"/>
      <c r="AS98" s="168"/>
      <c r="AT98" s="168"/>
      <c r="AU98" s="176" t="e">
        <f t="shared" si="26"/>
        <v>#DIV/0!</v>
      </c>
      <c r="AV98" s="177"/>
      <c r="AW98" s="177"/>
      <c r="AX98" s="177"/>
      <c r="AY98" s="177"/>
      <c r="AZ98" s="177"/>
    </row>
    <row r="99" spans="40:52" x14ac:dyDescent="0.6">
      <c r="AN99" s="168"/>
      <c r="AO99" s="168"/>
      <c r="AP99" s="168"/>
      <c r="AQ99" s="168"/>
      <c r="AR99" s="168"/>
      <c r="AS99" s="168"/>
      <c r="AT99" s="168"/>
      <c r="AU99" s="176" t="e">
        <f t="shared" si="26"/>
        <v>#DIV/0!</v>
      </c>
      <c r="AV99" s="177"/>
      <c r="AW99" s="177"/>
      <c r="AX99" s="177"/>
      <c r="AY99" s="177"/>
      <c r="AZ99" s="177"/>
    </row>
    <row r="100" spans="40:52" x14ac:dyDescent="0.6">
      <c r="AN100" s="168"/>
      <c r="AO100" s="168"/>
      <c r="AP100" s="168"/>
      <c r="AQ100" s="168"/>
      <c r="AR100" s="168"/>
      <c r="AS100" s="168"/>
      <c r="AT100" s="168"/>
      <c r="AU100" s="176" t="e">
        <f t="shared" si="26"/>
        <v>#DIV/0!</v>
      </c>
      <c r="AV100" s="177"/>
      <c r="AW100" s="177"/>
      <c r="AX100" s="177"/>
      <c r="AY100" s="177"/>
      <c r="AZ100" s="177"/>
    </row>
    <row r="101" spans="40:52" x14ac:dyDescent="0.6">
      <c r="AN101" s="168"/>
      <c r="AO101" s="168"/>
      <c r="AP101" s="168"/>
      <c r="AQ101" s="168"/>
      <c r="AR101" s="168"/>
      <c r="AS101" s="168"/>
      <c r="AT101" s="168"/>
      <c r="AU101" s="176" t="e">
        <f t="shared" si="26"/>
        <v>#DIV/0!</v>
      </c>
      <c r="AV101" s="177"/>
      <c r="AW101" s="177"/>
      <c r="AX101" s="177"/>
      <c r="AY101" s="177"/>
      <c r="AZ101" s="177"/>
    </row>
    <row r="102" spans="40:52" x14ac:dyDescent="0.6">
      <c r="AU102" s="176" t="e">
        <f t="shared" si="26"/>
        <v>#DIV/0!</v>
      </c>
      <c r="AV102" s="177"/>
      <c r="AW102" s="177"/>
      <c r="AX102" s="177"/>
      <c r="AY102" s="177"/>
      <c r="AZ102" s="177"/>
    </row>
    <row r="103" spans="40:52" x14ac:dyDescent="0.6">
      <c r="AU103" s="176" t="e">
        <f t="shared" si="26"/>
        <v>#DIV/0!</v>
      </c>
      <c r="AV103" s="177"/>
      <c r="AW103" s="177"/>
      <c r="AX103" s="177"/>
      <c r="AY103" s="177"/>
      <c r="AZ103" s="177"/>
    </row>
    <row r="104" spans="40:52" x14ac:dyDescent="0.6">
      <c r="AU104" s="176" t="e">
        <f t="shared" si="26"/>
        <v>#DIV/0!</v>
      </c>
      <c r="AV104" s="177"/>
      <c r="AW104" s="177"/>
      <c r="AX104" s="177"/>
      <c r="AY104" s="177"/>
      <c r="AZ104" s="177"/>
    </row>
    <row r="105" spans="40:52" x14ac:dyDescent="0.6">
      <c r="AU105" s="176" t="e">
        <f t="shared" si="26"/>
        <v>#DIV/0!</v>
      </c>
      <c r="AV105" s="177"/>
      <c r="AW105" s="177"/>
      <c r="AX105" s="177"/>
      <c r="AY105" s="177"/>
      <c r="AZ105" s="177"/>
    </row>
    <row r="106" spans="40:52" x14ac:dyDescent="0.6">
      <c r="AU106" s="176" t="e">
        <f t="shared" si="26"/>
        <v>#DIV/0!</v>
      </c>
      <c r="AV106" s="177"/>
      <c r="AW106" s="177"/>
      <c r="AX106" s="177"/>
      <c r="AY106" s="177"/>
      <c r="AZ106" s="177"/>
    </row>
    <row r="107" spans="40:52" x14ac:dyDescent="0.6">
      <c r="AU107" s="176" t="e">
        <f t="shared" si="26"/>
        <v>#DIV/0!</v>
      </c>
      <c r="AV107" s="177"/>
      <c r="AW107" s="177"/>
      <c r="AX107" s="177"/>
      <c r="AY107" s="177"/>
      <c r="AZ107" s="177"/>
    </row>
    <row r="108" spans="40:52" x14ac:dyDescent="0.6">
      <c r="AU108" s="176" t="e">
        <f t="shared" si="26"/>
        <v>#DIV/0!</v>
      </c>
      <c r="AV108" s="177"/>
      <c r="AW108" s="177"/>
      <c r="AX108" s="177"/>
      <c r="AY108" s="177"/>
      <c r="AZ108" s="177"/>
    </row>
    <row r="109" spans="40:52" x14ac:dyDescent="0.6">
      <c r="AU109" s="176" t="e">
        <f t="shared" si="26"/>
        <v>#DIV/0!</v>
      </c>
      <c r="AV109" s="177"/>
      <c r="AW109" s="177"/>
      <c r="AX109" s="177"/>
      <c r="AY109" s="177"/>
      <c r="AZ109" s="177"/>
    </row>
    <row r="110" spans="40:52" x14ac:dyDescent="0.6">
      <c r="AU110" s="176" t="e">
        <f t="shared" si="26"/>
        <v>#DIV/0!</v>
      </c>
      <c r="AV110" s="177"/>
      <c r="AW110" s="177"/>
      <c r="AX110" s="177"/>
      <c r="AY110" s="177"/>
      <c r="AZ110" s="177"/>
    </row>
    <row r="111" spans="40:52" x14ac:dyDescent="0.6">
      <c r="AU111" s="176" t="e">
        <f t="shared" si="26"/>
        <v>#DIV/0!</v>
      </c>
      <c r="AV111" s="177"/>
      <c r="AW111" s="177"/>
      <c r="AX111" s="177"/>
      <c r="AY111" s="177"/>
      <c r="AZ111" s="177"/>
    </row>
    <row r="112" spans="40:52" x14ac:dyDescent="0.6">
      <c r="AU112" s="176" t="e">
        <f t="shared" si="26"/>
        <v>#DIV/0!</v>
      </c>
      <c r="AV112" s="177"/>
      <c r="AW112" s="177"/>
      <c r="AX112" s="177"/>
      <c r="AY112" s="177"/>
      <c r="AZ112" s="177"/>
    </row>
    <row r="113" spans="47:52" x14ac:dyDescent="0.6">
      <c r="AU113" s="176" t="e">
        <f t="shared" si="26"/>
        <v>#DIV/0!</v>
      </c>
      <c r="AV113" s="177"/>
      <c r="AW113" s="177"/>
      <c r="AX113" s="177"/>
      <c r="AY113" s="177"/>
      <c r="AZ113" s="177"/>
    </row>
    <row r="114" spans="47:52" x14ac:dyDescent="0.6">
      <c r="AU114" s="176" t="e">
        <f t="shared" si="26"/>
        <v>#DIV/0!</v>
      </c>
      <c r="AV114" s="177"/>
      <c r="AW114" s="177"/>
      <c r="AX114" s="177"/>
      <c r="AY114" s="177"/>
      <c r="AZ114" s="177"/>
    </row>
    <row r="115" spans="47:52" x14ac:dyDescent="0.6">
      <c r="AU115" s="176" t="e">
        <f t="shared" si="26"/>
        <v>#DIV/0!</v>
      </c>
      <c r="AV115" s="177"/>
      <c r="AW115" s="177"/>
      <c r="AX115" s="177"/>
      <c r="AY115" s="177"/>
      <c r="AZ115" s="177"/>
    </row>
    <row r="116" spans="47:52" x14ac:dyDescent="0.6">
      <c r="AU116" s="176" t="e">
        <f t="shared" si="26"/>
        <v>#DIV/0!</v>
      </c>
      <c r="AV116" s="177"/>
      <c r="AW116" s="177"/>
      <c r="AX116" s="177"/>
      <c r="AY116" s="177"/>
      <c r="AZ116" s="177"/>
    </row>
    <row r="117" spans="47:52" x14ac:dyDescent="0.6">
      <c r="AU117" s="176" t="e">
        <f t="shared" si="26"/>
        <v>#DIV/0!</v>
      </c>
      <c r="AV117" s="177"/>
      <c r="AW117" s="177"/>
      <c r="AX117" s="177"/>
      <c r="AY117" s="177"/>
      <c r="AZ117" s="177"/>
    </row>
    <row r="118" spans="47:52" x14ac:dyDescent="0.6">
      <c r="AU118" s="176" t="e">
        <f t="shared" si="26"/>
        <v>#DIV/0!</v>
      </c>
      <c r="AV118" s="177"/>
      <c r="AW118" s="177"/>
      <c r="AX118" s="177"/>
      <c r="AY118" s="177"/>
      <c r="AZ118" s="177"/>
    </row>
    <row r="119" spans="47:52" x14ac:dyDescent="0.6">
      <c r="AU119" s="176" t="e">
        <f t="shared" si="26"/>
        <v>#DIV/0!</v>
      </c>
      <c r="AV119" s="177"/>
      <c r="AW119" s="177"/>
      <c r="AX119" s="177"/>
      <c r="AY119" s="177"/>
      <c r="AZ119" s="177"/>
    </row>
    <row r="120" spans="47:52" x14ac:dyDescent="0.6">
      <c r="AU120" s="176" t="e">
        <f t="shared" si="26"/>
        <v>#DIV/0!</v>
      </c>
      <c r="AV120" s="177"/>
      <c r="AW120" s="177"/>
      <c r="AX120" s="177"/>
      <c r="AY120" s="177"/>
      <c r="AZ120" s="177"/>
    </row>
    <row r="121" spans="47:52" x14ac:dyDescent="0.6">
      <c r="AU121" s="176" t="e">
        <f t="shared" si="26"/>
        <v>#DIV/0!</v>
      </c>
      <c r="AV121" s="177"/>
      <c r="AW121" s="177"/>
      <c r="AX121" s="177"/>
      <c r="AY121" s="177"/>
      <c r="AZ121" s="177"/>
    </row>
    <row r="122" spans="47:52" x14ac:dyDescent="0.6">
      <c r="AU122" s="176" t="e">
        <f t="shared" si="26"/>
        <v>#DIV/0!</v>
      </c>
      <c r="AV122" s="177"/>
      <c r="AW122" s="177"/>
      <c r="AX122" s="177"/>
      <c r="AY122" s="177"/>
      <c r="AZ122" s="177"/>
    </row>
    <row r="123" spans="47:52" x14ac:dyDescent="0.6">
      <c r="AU123" s="176" t="e">
        <f t="shared" si="26"/>
        <v>#DIV/0!</v>
      </c>
      <c r="AV123" s="177"/>
      <c r="AW123" s="177"/>
      <c r="AX123" s="177"/>
      <c r="AY123" s="177"/>
      <c r="AZ123" s="177"/>
    </row>
    <row r="124" spans="47:52" x14ac:dyDescent="0.6">
      <c r="AU124" s="176" t="e">
        <f t="shared" si="26"/>
        <v>#DIV/0!</v>
      </c>
      <c r="AV124" s="177"/>
      <c r="AW124" s="177"/>
      <c r="AX124" s="177"/>
      <c r="AY124" s="177"/>
      <c r="AZ124" s="177"/>
    </row>
    <row r="125" spans="47:52" x14ac:dyDescent="0.6">
      <c r="AU125" s="176" t="e">
        <f t="shared" si="26"/>
        <v>#DIV/0!</v>
      </c>
      <c r="AV125" s="177"/>
      <c r="AW125" s="177"/>
      <c r="AX125" s="177"/>
      <c r="AY125" s="177"/>
      <c r="AZ125" s="177"/>
    </row>
    <row r="126" spans="47:52" x14ac:dyDescent="0.6">
      <c r="AU126" s="176" t="e">
        <f t="shared" si="26"/>
        <v>#DIV/0!</v>
      </c>
      <c r="AV126" s="177"/>
      <c r="AW126" s="177"/>
      <c r="AX126" s="177"/>
      <c r="AY126" s="177"/>
      <c r="AZ126" s="177"/>
    </row>
    <row r="127" spans="47:52" x14ac:dyDescent="0.6">
      <c r="AU127" s="176" t="e">
        <f t="shared" si="26"/>
        <v>#DIV/0!</v>
      </c>
      <c r="AV127" s="177"/>
      <c r="AW127" s="177"/>
      <c r="AX127" s="177"/>
      <c r="AY127" s="177"/>
      <c r="AZ127" s="177"/>
    </row>
    <row r="128" spans="47:52" x14ac:dyDescent="0.6">
      <c r="AU128" s="176" t="e">
        <f t="shared" si="26"/>
        <v>#DIV/0!</v>
      </c>
      <c r="AV128" s="177"/>
      <c r="AW128" s="177"/>
      <c r="AX128" s="177"/>
      <c r="AY128" s="177"/>
      <c r="AZ128" s="177"/>
    </row>
    <row r="129" spans="47:52" x14ac:dyDescent="0.6">
      <c r="AU129" s="176" t="e">
        <f t="shared" si="26"/>
        <v>#DIV/0!</v>
      </c>
      <c r="AV129" s="177"/>
      <c r="AW129" s="177"/>
      <c r="AX129" s="177"/>
      <c r="AY129" s="177"/>
      <c r="AZ129" s="177"/>
    </row>
  </sheetData>
  <mergeCells count="2">
    <mergeCell ref="DV5:DX5"/>
    <mergeCell ref="EE5:EG5"/>
  </mergeCells>
  <pageMargins left="0.7" right="0.7" top="0.75" bottom="0.75" header="0.3" footer="0.3"/>
  <pageSetup orientation="portrait" horizontalDpi="0" verticalDpi="0" r:id="rId10"/>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21378-5B01-4970-AE5E-033AC531D89F}">
  <sheetPr codeName="Sheet6">
    <pageSetUpPr fitToPage="1"/>
  </sheetPr>
  <dimension ref="A1:G26"/>
  <sheetViews>
    <sheetView showGridLines="0" rightToLeft="1" zoomScaleNormal="100" zoomScaleSheetLayoutView="110" workbookViewId="0">
      <pane ySplit="2" topLeftCell="A3" activePane="bottomLeft" state="frozen"/>
      <selection pane="bottomLeft" activeCell="G3" sqref="G3"/>
    </sheetView>
  </sheetViews>
  <sheetFormatPr defaultColWidth="9.296875" defaultRowHeight="21.6" x14ac:dyDescent="0.25"/>
  <cols>
    <col min="1" max="1" width="6" style="7" bestFit="1" customWidth="1"/>
    <col min="2" max="2" width="38.296875" style="7" bestFit="1" customWidth="1"/>
    <col min="3" max="3" width="24.69921875" style="9" bestFit="1" customWidth="1"/>
    <col min="4" max="4" width="21" style="9" bestFit="1" customWidth="1"/>
    <col min="5" max="5" width="13.69921875" style="9" bestFit="1" customWidth="1"/>
    <col min="6" max="6" width="21.3984375" style="9" bestFit="1" customWidth="1"/>
    <col min="7" max="7" width="13.69921875" style="9" bestFit="1" customWidth="1"/>
    <col min="8" max="16384" width="9.296875" style="7"/>
  </cols>
  <sheetData>
    <row r="1" spans="1:7" ht="41.4" thickBot="1" x14ac:dyDescent="0.3">
      <c r="A1" s="249" t="s">
        <v>257</v>
      </c>
      <c r="B1" s="250"/>
      <c r="C1" s="250"/>
      <c r="D1" s="250"/>
      <c r="E1" s="250"/>
      <c r="F1" s="250"/>
      <c r="G1" s="251"/>
    </row>
    <row r="2" spans="1:7" ht="24" thickBot="1" x14ac:dyDescent="0.3">
      <c r="A2" s="92" t="s">
        <v>258</v>
      </c>
      <c r="B2" s="92" t="s">
        <v>0</v>
      </c>
      <c r="C2" s="93" t="s">
        <v>259</v>
      </c>
      <c r="D2" s="93" t="s">
        <v>260</v>
      </c>
      <c r="E2" s="93" t="s">
        <v>246</v>
      </c>
      <c r="F2" s="93" t="s">
        <v>261</v>
      </c>
      <c r="G2" s="94" t="s">
        <v>277</v>
      </c>
    </row>
    <row r="3" spans="1:7" ht="33.75" customHeight="1" thickBot="1" x14ac:dyDescent="0.3">
      <c r="A3" s="105">
        <v>1</v>
      </c>
      <c r="B3" s="106" t="s">
        <v>98</v>
      </c>
      <c r="C3" s="107">
        <v>120000</v>
      </c>
      <c r="D3" s="108">
        <f>Table134[[#This Row],[میزان سفارش (کیلوگرم)]]*0.6</f>
        <v>72000</v>
      </c>
      <c r="E3" s="109">
        <f>Table134[[#This Row],[تحویل شش ماهه اول]]/24</f>
        <v>3000</v>
      </c>
      <c r="F3" s="108">
        <f>Table134[[#This Row],[میزان سفارش (کیلوگرم)]]*0.4</f>
        <v>48000</v>
      </c>
      <c r="G3" s="109">
        <f>Table134[[#This Row],[تحویل شش ماهه دوم]]/24</f>
        <v>2000</v>
      </c>
    </row>
    <row r="4" spans="1:7" ht="33.75" customHeight="1" thickBot="1" x14ac:dyDescent="0.3">
      <c r="A4" s="105">
        <v>2</v>
      </c>
      <c r="B4" s="106" t="s">
        <v>100</v>
      </c>
      <c r="C4" s="107">
        <v>300000</v>
      </c>
      <c r="D4" s="108">
        <f>Table134[[#This Row],[میزان سفارش (کیلوگرم)]]*0.6</f>
        <v>180000</v>
      </c>
      <c r="E4" s="109">
        <f>Table134[[#This Row],[تحویل شش ماهه اول]]/24</f>
        <v>7500</v>
      </c>
      <c r="F4" s="108">
        <f>Table134[[#This Row],[میزان سفارش (کیلوگرم)]]*0.4</f>
        <v>120000</v>
      </c>
      <c r="G4" s="109">
        <f>Table134[[#This Row],[تحویل شش ماهه دوم]]/24</f>
        <v>5000</v>
      </c>
    </row>
    <row r="5" spans="1:7" ht="33.75" customHeight="1" thickBot="1" x14ac:dyDescent="0.3">
      <c r="A5" s="105">
        <v>3</v>
      </c>
      <c r="B5" s="106" t="s">
        <v>101</v>
      </c>
      <c r="C5" s="107">
        <v>100000</v>
      </c>
      <c r="D5" s="108">
        <f>Table134[[#This Row],[میزان سفارش (کیلوگرم)]]*0.6</f>
        <v>60000</v>
      </c>
      <c r="E5" s="109">
        <f>Table134[[#This Row],[تحویل شش ماهه اول]]/24</f>
        <v>2500</v>
      </c>
      <c r="F5" s="108">
        <f>Table134[[#This Row],[میزان سفارش (کیلوگرم)]]*0.4</f>
        <v>40000</v>
      </c>
      <c r="G5" s="109">
        <f>Table134[[#This Row],[تحویل شش ماهه دوم]]/24</f>
        <v>1666.6666666666667</v>
      </c>
    </row>
    <row r="6" spans="1:7" ht="33.75" customHeight="1" thickBot="1" x14ac:dyDescent="0.3">
      <c r="A6" s="105">
        <v>4</v>
      </c>
      <c r="B6" s="106" t="s">
        <v>102</v>
      </c>
      <c r="C6" s="107">
        <v>700000</v>
      </c>
      <c r="D6" s="108">
        <f>Table134[[#This Row],[میزان سفارش (کیلوگرم)]]*0.6</f>
        <v>420000</v>
      </c>
      <c r="E6" s="109">
        <f>Table134[[#This Row],[تحویل شش ماهه اول]]/24</f>
        <v>17500</v>
      </c>
      <c r="F6" s="108">
        <f>Table134[[#This Row],[میزان سفارش (کیلوگرم)]]*0.4</f>
        <v>280000</v>
      </c>
      <c r="G6" s="109">
        <f>Table134[[#This Row],[تحویل شش ماهه دوم]]/24</f>
        <v>11666.666666666666</v>
      </c>
    </row>
    <row r="7" spans="1:7" ht="33.75" customHeight="1" thickBot="1" x14ac:dyDescent="0.3">
      <c r="A7" s="105">
        <v>5</v>
      </c>
      <c r="B7" s="106" t="s">
        <v>103</v>
      </c>
      <c r="C7" s="107">
        <v>1000000</v>
      </c>
      <c r="D7" s="108">
        <f>Table134[[#This Row],[میزان سفارش (کیلوگرم)]]*0.6</f>
        <v>600000</v>
      </c>
      <c r="E7" s="109">
        <f>Table134[[#This Row],[تحویل شش ماهه اول]]/24</f>
        <v>25000</v>
      </c>
      <c r="F7" s="108">
        <f>Table134[[#This Row],[میزان سفارش (کیلوگرم)]]*0.4</f>
        <v>400000</v>
      </c>
      <c r="G7" s="109">
        <f>Table134[[#This Row],[تحویل شش ماهه دوم]]/24</f>
        <v>16666.666666666668</v>
      </c>
    </row>
    <row r="8" spans="1:7" ht="33.75" customHeight="1" thickBot="1" x14ac:dyDescent="0.3">
      <c r="A8" s="105">
        <v>6</v>
      </c>
      <c r="B8" s="106" t="s">
        <v>104</v>
      </c>
      <c r="C8" s="107">
        <v>780000</v>
      </c>
      <c r="D8" s="108">
        <f>Table134[[#This Row],[میزان سفارش (کیلوگرم)]]*0.6</f>
        <v>468000</v>
      </c>
      <c r="E8" s="109">
        <f>Table134[[#This Row],[تحویل شش ماهه اول]]/24</f>
        <v>19500</v>
      </c>
      <c r="F8" s="108">
        <f>Table134[[#This Row],[میزان سفارش (کیلوگرم)]]*0.4</f>
        <v>312000</v>
      </c>
      <c r="G8" s="109">
        <f>Table134[[#This Row],[تحویل شش ماهه دوم]]/24</f>
        <v>13000</v>
      </c>
    </row>
    <row r="9" spans="1:7" ht="33.75" customHeight="1" thickBot="1" x14ac:dyDescent="0.3">
      <c r="A9" s="105">
        <v>7</v>
      </c>
      <c r="B9" s="106" t="s">
        <v>105</v>
      </c>
      <c r="C9" s="107">
        <v>600000</v>
      </c>
      <c r="D9" s="108">
        <f>Table134[[#This Row],[میزان سفارش (کیلوگرم)]]*0.6</f>
        <v>360000</v>
      </c>
      <c r="E9" s="109">
        <f>Table134[[#This Row],[تحویل شش ماهه اول]]/24</f>
        <v>15000</v>
      </c>
      <c r="F9" s="108">
        <f>Table134[[#This Row],[میزان سفارش (کیلوگرم)]]*0.4</f>
        <v>240000</v>
      </c>
      <c r="G9" s="109">
        <f>Table134[[#This Row],[تحویل شش ماهه دوم]]/24</f>
        <v>10000</v>
      </c>
    </row>
    <row r="10" spans="1:7" ht="33.75" customHeight="1" thickBot="1" x14ac:dyDescent="0.3">
      <c r="A10" s="105">
        <v>8</v>
      </c>
      <c r="B10" s="106" t="s">
        <v>262</v>
      </c>
      <c r="C10" s="107">
        <v>2500000</v>
      </c>
      <c r="D10" s="108">
        <f>Table134[[#This Row],[میزان سفارش (کیلوگرم)]]*0.6</f>
        <v>1500000</v>
      </c>
      <c r="E10" s="109">
        <f>Table134[[#This Row],[تحویل شش ماهه اول]]/24</f>
        <v>62500</v>
      </c>
      <c r="F10" s="108">
        <f>Table134[[#This Row],[میزان سفارش (کیلوگرم)]]*0.4</f>
        <v>1000000</v>
      </c>
      <c r="G10" s="109">
        <f>Table134[[#This Row],[تحویل شش ماهه دوم]]/24</f>
        <v>41666.666666666664</v>
      </c>
    </row>
    <row r="11" spans="1:7" ht="33.75" customHeight="1" thickBot="1" x14ac:dyDescent="0.3">
      <c r="A11" s="105">
        <v>9</v>
      </c>
      <c r="B11" s="106" t="s">
        <v>116</v>
      </c>
      <c r="C11" s="107">
        <f>1300000</f>
        <v>1300000</v>
      </c>
      <c r="D11" s="108">
        <f>Table134[[#This Row],[میزان سفارش (کیلوگرم)]]*0.6</f>
        <v>780000</v>
      </c>
      <c r="E11" s="109">
        <f>Table134[[#This Row],[تحویل شش ماهه اول]]/24</f>
        <v>32500</v>
      </c>
      <c r="F11" s="108">
        <f>Table134[[#This Row],[میزان سفارش (کیلوگرم)]]*0.4</f>
        <v>520000</v>
      </c>
      <c r="G11" s="109">
        <f>Table134[[#This Row],[تحویل شش ماهه دوم]]/24</f>
        <v>21666.666666666668</v>
      </c>
    </row>
    <row r="12" spans="1:7" ht="33.75" customHeight="1" thickBot="1" x14ac:dyDescent="0.3">
      <c r="A12" s="105">
        <v>11</v>
      </c>
      <c r="B12" s="106" t="s">
        <v>117</v>
      </c>
      <c r="C12" s="107">
        <v>180000</v>
      </c>
      <c r="D12" s="108">
        <f>Table134[[#This Row],[میزان سفارش (کیلوگرم)]]*0.6</f>
        <v>108000</v>
      </c>
      <c r="E12" s="109">
        <f>Table134[[#This Row],[تحویل شش ماهه اول]]/24</f>
        <v>4500</v>
      </c>
      <c r="F12" s="108">
        <f>Table134[[#This Row],[میزان سفارش (کیلوگرم)]]*0.4</f>
        <v>72000</v>
      </c>
      <c r="G12" s="109">
        <f>Table134[[#This Row],[تحویل شش ماهه دوم]]/24</f>
        <v>3000</v>
      </c>
    </row>
    <row r="13" spans="1:7" ht="33.75" customHeight="1" thickBot="1" x14ac:dyDescent="0.3">
      <c r="A13" s="105">
        <v>12</v>
      </c>
      <c r="B13" s="106" t="s">
        <v>121</v>
      </c>
      <c r="C13" s="107">
        <v>200000</v>
      </c>
      <c r="D13" s="108">
        <f>Table134[[#This Row],[میزان سفارش (کیلوگرم)]]*0.6</f>
        <v>120000</v>
      </c>
      <c r="E13" s="109">
        <f>Table134[[#This Row],[تحویل شش ماهه اول]]/24</f>
        <v>5000</v>
      </c>
      <c r="F13" s="108">
        <f>Table134[[#This Row],[میزان سفارش (کیلوگرم)]]*0.4</f>
        <v>80000</v>
      </c>
      <c r="G13" s="109">
        <f>Table134[[#This Row],[تحویل شش ماهه دوم]]/24</f>
        <v>3333.3333333333335</v>
      </c>
    </row>
    <row r="14" spans="1:7" ht="33.75" customHeight="1" thickBot="1" x14ac:dyDescent="0.3">
      <c r="A14" s="105">
        <v>13</v>
      </c>
      <c r="B14" s="106" t="s">
        <v>122</v>
      </c>
      <c r="C14" s="107">
        <v>600000</v>
      </c>
      <c r="D14" s="108">
        <f>Table134[[#This Row],[میزان سفارش (کیلوگرم)]]*0.6</f>
        <v>360000</v>
      </c>
      <c r="E14" s="109">
        <f>Table134[[#This Row],[تحویل شش ماهه اول]]/24</f>
        <v>15000</v>
      </c>
      <c r="F14" s="108">
        <f>Table134[[#This Row],[میزان سفارش (کیلوگرم)]]*0.4</f>
        <v>240000</v>
      </c>
      <c r="G14" s="109">
        <f>Table134[[#This Row],[تحویل شش ماهه دوم]]/24</f>
        <v>10000</v>
      </c>
    </row>
    <row r="15" spans="1:7" ht="33.75" customHeight="1" thickBot="1" x14ac:dyDescent="0.3">
      <c r="A15" s="105">
        <v>14</v>
      </c>
      <c r="B15" s="106" t="s">
        <v>256</v>
      </c>
      <c r="C15" s="107">
        <v>450000</v>
      </c>
      <c r="D15" s="108">
        <f>Table134[[#This Row],[میزان سفارش (کیلوگرم)]]*0.6</f>
        <v>270000</v>
      </c>
      <c r="E15" s="109">
        <f>Table134[[#This Row],[تحویل شش ماهه اول]]/24</f>
        <v>11250</v>
      </c>
      <c r="F15" s="108">
        <f>Table134[[#This Row],[میزان سفارش (کیلوگرم)]]*0.4</f>
        <v>180000</v>
      </c>
      <c r="G15" s="109">
        <f>Table134[[#This Row],[تحویل شش ماهه دوم]]/24</f>
        <v>7500</v>
      </c>
    </row>
    <row r="16" spans="1:7" ht="33.75" customHeight="1" thickBot="1" x14ac:dyDescent="0.3">
      <c r="A16" s="110">
        <v>15</v>
      </c>
      <c r="B16" s="111" t="s">
        <v>125</v>
      </c>
      <c r="C16" s="112">
        <v>300000</v>
      </c>
      <c r="D16" s="113">
        <f>Table134[[#This Row],[میزان سفارش (کیلوگرم)]]*0.6</f>
        <v>180000</v>
      </c>
      <c r="E16" s="114">
        <f>Table134[[#This Row],[تحویل شش ماهه اول]]/24</f>
        <v>7500</v>
      </c>
      <c r="F16" s="113">
        <f>Table134[[#This Row],[میزان سفارش (کیلوگرم)]]*0.4</f>
        <v>120000</v>
      </c>
      <c r="G16" s="114">
        <f>Table134[[#This Row],[تحویل شش ماهه دوم]]/24</f>
        <v>5000</v>
      </c>
    </row>
    <row r="17" spans="1:7" s="8" customFormat="1" ht="40.799999999999997" customHeight="1" thickBot="1" x14ac:dyDescent="0.3">
      <c r="A17" s="95"/>
      <c r="B17" s="96" t="s">
        <v>266</v>
      </c>
      <c r="C17" s="97">
        <f>SUBTOTAL(109,Table134[میزان سفارش (کیلوگرم)])</f>
        <v>9130000</v>
      </c>
      <c r="D17" s="97">
        <f>SUBTOTAL(109,Table134[تحویل شش ماهه اول])</f>
        <v>5478000</v>
      </c>
      <c r="E17" s="97">
        <f>SUBTOTAL(109,Table134[توزیع هفتگی])</f>
        <v>228250</v>
      </c>
      <c r="F17" s="97">
        <f>SUBTOTAL(109,Table134[تحویل شش ماهه دوم])</f>
        <v>3652000</v>
      </c>
      <c r="G17" s="97">
        <f>SUBTOTAL(109,Table134[توزیع هفتگی.])</f>
        <v>152166.66666666666</v>
      </c>
    </row>
    <row r="18" spans="1:7" x14ac:dyDescent="0.25">
      <c r="A18" s="252" t="s">
        <v>279</v>
      </c>
      <c r="B18" s="253"/>
      <c r="C18" s="253"/>
      <c r="D18" s="253"/>
      <c r="E18" s="253"/>
      <c r="F18" s="253"/>
      <c r="G18" s="254"/>
    </row>
    <row r="19" spans="1:7" x14ac:dyDescent="0.25">
      <c r="A19" s="255" t="s">
        <v>278</v>
      </c>
      <c r="B19" s="256"/>
      <c r="C19" s="256"/>
      <c r="D19" s="256"/>
      <c r="E19" s="256"/>
      <c r="F19" s="256"/>
      <c r="G19" s="257"/>
    </row>
    <row r="20" spans="1:7" ht="22.2" thickBot="1" x14ac:dyDescent="0.3">
      <c r="A20" s="258" t="s">
        <v>280</v>
      </c>
      <c r="B20" s="259"/>
      <c r="C20" s="259"/>
      <c r="D20" s="259"/>
      <c r="E20" s="259"/>
      <c r="F20" s="259"/>
      <c r="G20" s="260"/>
    </row>
    <row r="21" spans="1:7" x14ac:dyDescent="0.25">
      <c r="A21" s="9"/>
      <c r="C21" s="7"/>
      <c r="D21" s="7"/>
      <c r="E21" s="7"/>
      <c r="F21" s="7"/>
      <c r="G21" s="7"/>
    </row>
    <row r="22" spans="1:7" x14ac:dyDescent="0.25">
      <c r="A22" s="9"/>
      <c r="C22" s="7"/>
      <c r="D22" s="7"/>
      <c r="E22" s="7"/>
      <c r="F22" s="7"/>
      <c r="G22" s="7"/>
    </row>
    <row r="23" spans="1:7" x14ac:dyDescent="0.25">
      <c r="A23" s="9"/>
      <c r="C23" s="7"/>
      <c r="D23" s="7"/>
      <c r="E23" s="7"/>
      <c r="F23" s="7"/>
      <c r="G23" s="7"/>
    </row>
    <row r="24" spans="1:7" x14ac:dyDescent="0.25">
      <c r="A24" s="9"/>
      <c r="C24" s="7"/>
      <c r="D24" s="7"/>
      <c r="E24" s="7"/>
      <c r="F24" s="7"/>
      <c r="G24" s="7"/>
    </row>
    <row r="25" spans="1:7" x14ac:dyDescent="0.25">
      <c r="A25" s="9"/>
      <c r="C25" s="7"/>
      <c r="D25" s="7"/>
      <c r="E25" s="7"/>
      <c r="F25" s="7"/>
      <c r="G25" s="7"/>
    </row>
    <row r="26" spans="1:7" x14ac:dyDescent="0.25">
      <c r="A26" s="9"/>
      <c r="C26" s="7"/>
      <c r="D26" s="7"/>
      <c r="E26" s="7"/>
      <c r="F26" s="7"/>
      <c r="G26" s="7"/>
    </row>
  </sheetData>
  <mergeCells count="4">
    <mergeCell ref="A1:G1"/>
    <mergeCell ref="A18:G18"/>
    <mergeCell ref="A19:G19"/>
    <mergeCell ref="A20:G20"/>
  </mergeCells>
  <printOptions horizontalCentered="1" verticalCentered="1"/>
  <pageMargins left="0" right="0" top="0.35" bottom="0.35" header="0.31496062992126" footer="0.31496062992126"/>
  <pageSetup fitToHeight="0"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10D15-BA8C-460B-82A0-EB3859A28231}">
  <sheetPr codeName="Sheet7">
    <pageSetUpPr fitToPage="1"/>
  </sheetPr>
  <dimension ref="A1:R46"/>
  <sheetViews>
    <sheetView showGridLines="0" rightToLeft="1" zoomScale="110" zoomScaleNormal="110" workbookViewId="0">
      <pane ySplit="2" topLeftCell="A3" activePane="bottomLeft" state="frozen"/>
      <selection pane="bottomLeft" activeCell="J12" sqref="J12"/>
    </sheetView>
  </sheetViews>
  <sheetFormatPr defaultColWidth="10.69921875" defaultRowHeight="21.75" customHeight="1" x14ac:dyDescent="0.25"/>
  <cols>
    <col min="1" max="1" width="11.59765625" style="1" customWidth="1"/>
    <col min="2" max="2" width="22.69921875" style="1" customWidth="1"/>
    <col min="3" max="4" width="10.69921875" style="1" hidden="1" customWidth="1"/>
    <col min="5" max="17" width="10.69921875" style="1"/>
    <col min="18" max="18" width="17.09765625" style="1" customWidth="1"/>
    <col min="19" max="16384" width="10.69921875" style="1"/>
  </cols>
  <sheetData>
    <row r="1" spans="1:18" ht="21.75" customHeight="1" x14ac:dyDescent="0.25">
      <c r="A1" s="275" t="s">
        <v>127</v>
      </c>
      <c r="B1" s="273" t="s">
        <v>0</v>
      </c>
      <c r="C1" s="273" t="s">
        <v>267</v>
      </c>
      <c r="D1" s="275" t="s">
        <v>130</v>
      </c>
      <c r="E1" s="273" t="s">
        <v>268</v>
      </c>
      <c r="F1" s="273" t="s">
        <v>2</v>
      </c>
      <c r="G1" s="273" t="s">
        <v>248</v>
      </c>
      <c r="H1" s="273" t="s">
        <v>238</v>
      </c>
      <c r="I1" s="275" t="s">
        <v>274</v>
      </c>
      <c r="J1" s="275" t="s">
        <v>273</v>
      </c>
      <c r="K1" s="273" t="s">
        <v>238</v>
      </c>
      <c r="L1" s="270" t="s">
        <v>244</v>
      </c>
      <c r="M1" s="270" t="s">
        <v>263</v>
      </c>
      <c r="N1" s="272" t="s">
        <v>264</v>
      </c>
      <c r="O1" s="272" t="s">
        <v>263</v>
      </c>
      <c r="P1" s="261" t="s">
        <v>265</v>
      </c>
      <c r="Q1" s="262"/>
    </row>
    <row r="2" spans="1:18" ht="52.8" customHeight="1" x14ac:dyDescent="0.25">
      <c r="A2" s="276"/>
      <c r="B2" s="274"/>
      <c r="C2" s="274"/>
      <c r="D2" s="276"/>
      <c r="E2" s="274"/>
      <c r="F2" s="274"/>
      <c r="G2" s="274"/>
      <c r="H2" s="274"/>
      <c r="I2" s="276"/>
      <c r="J2" s="276"/>
      <c r="K2" s="274"/>
      <c r="L2" s="271"/>
      <c r="M2" s="271"/>
      <c r="N2" s="272"/>
      <c r="O2" s="272"/>
      <c r="P2" s="16" t="s">
        <v>275</v>
      </c>
      <c r="Q2" s="16" t="s">
        <v>276</v>
      </c>
    </row>
    <row r="3" spans="1:18" ht="28.8" customHeight="1" x14ac:dyDescent="0.25">
      <c r="A3" s="18" t="s">
        <v>3</v>
      </c>
      <c r="B3" s="18" t="s">
        <v>250</v>
      </c>
      <c r="C3" s="18" t="s">
        <v>131</v>
      </c>
      <c r="D3" s="18" t="s">
        <v>131</v>
      </c>
      <c r="E3" s="18">
        <v>34360</v>
      </c>
      <c r="F3" s="18">
        <v>65000</v>
      </c>
      <c r="G3" s="18">
        <v>0</v>
      </c>
      <c r="H3" s="18">
        <v>34360</v>
      </c>
      <c r="I3" s="19" t="s">
        <v>240</v>
      </c>
      <c r="J3" s="71" t="s">
        <v>272</v>
      </c>
      <c r="K3" s="264">
        <f>SUM(H3:H6)</f>
        <v>204555</v>
      </c>
      <c r="L3" s="264">
        <f>K3*0.6</f>
        <v>122733</v>
      </c>
      <c r="M3" s="264">
        <f>L3/24</f>
        <v>5113.875</v>
      </c>
      <c r="N3" s="264">
        <f>K3-L3</f>
        <v>81822</v>
      </c>
      <c r="O3" s="265">
        <f>N3/24</f>
        <v>3409.25</v>
      </c>
      <c r="P3" s="267">
        <v>5</v>
      </c>
      <c r="Q3" s="263">
        <v>3.5</v>
      </c>
    </row>
    <row r="4" spans="1:18" ht="21.75" customHeight="1" x14ac:dyDescent="0.25">
      <c r="A4" s="18" t="s">
        <v>4</v>
      </c>
      <c r="B4" s="18" t="s">
        <v>250</v>
      </c>
      <c r="C4" s="18" t="s">
        <v>132</v>
      </c>
      <c r="D4" s="18" t="s">
        <v>169</v>
      </c>
      <c r="E4" s="18">
        <v>85900</v>
      </c>
      <c r="F4" s="18">
        <v>65000</v>
      </c>
      <c r="G4" s="18">
        <v>55705</v>
      </c>
      <c r="H4" s="18">
        <v>30195</v>
      </c>
      <c r="I4" s="19" t="s">
        <v>240</v>
      </c>
      <c r="J4" s="72" t="s">
        <v>272</v>
      </c>
      <c r="K4" s="265"/>
      <c r="L4" s="265"/>
      <c r="M4" s="265"/>
      <c r="N4" s="265"/>
      <c r="O4" s="265"/>
      <c r="P4" s="268"/>
      <c r="Q4" s="263"/>
    </row>
    <row r="5" spans="1:18" ht="21.75" customHeight="1" x14ac:dyDescent="0.25">
      <c r="A5" s="18" t="s">
        <v>5</v>
      </c>
      <c r="B5" s="18" t="s">
        <v>250</v>
      </c>
      <c r="C5" s="18" t="s">
        <v>133</v>
      </c>
      <c r="D5" s="18" t="s">
        <v>185</v>
      </c>
      <c r="E5" s="18">
        <v>120000</v>
      </c>
      <c r="F5" s="18">
        <v>100000</v>
      </c>
      <c r="G5" s="18">
        <v>0</v>
      </c>
      <c r="H5" s="18">
        <v>120000</v>
      </c>
      <c r="I5" s="19" t="s">
        <v>241</v>
      </c>
      <c r="J5" s="72" t="str">
        <f>IF((((SUM(H5))*0.6)/24)&lt;=M3,"TRUE","FALSE")</f>
        <v>TRUE</v>
      </c>
      <c r="K5" s="265"/>
      <c r="L5" s="265"/>
      <c r="M5" s="265"/>
      <c r="N5" s="265"/>
      <c r="O5" s="265"/>
      <c r="P5" s="268"/>
      <c r="Q5" s="263"/>
    </row>
    <row r="6" spans="1:18" ht="21.75" customHeight="1" x14ac:dyDescent="0.25">
      <c r="A6" s="18" t="s">
        <v>6</v>
      </c>
      <c r="B6" s="18" t="s">
        <v>250</v>
      </c>
      <c r="C6" s="18" t="s">
        <v>134</v>
      </c>
      <c r="D6" s="18" t="s">
        <v>233</v>
      </c>
      <c r="E6" s="18">
        <v>20000</v>
      </c>
      <c r="F6" s="18">
        <v>92180</v>
      </c>
      <c r="G6" s="18">
        <v>0</v>
      </c>
      <c r="H6" s="18">
        <v>20000</v>
      </c>
      <c r="I6" s="19" t="s">
        <v>242</v>
      </c>
      <c r="J6" s="73" t="s">
        <v>272</v>
      </c>
      <c r="K6" s="266"/>
      <c r="L6" s="266"/>
      <c r="M6" s="266"/>
      <c r="N6" s="266"/>
      <c r="O6" s="266"/>
      <c r="P6" s="269"/>
      <c r="Q6" s="263"/>
    </row>
    <row r="7" spans="1:18" ht="21.75" customHeight="1" x14ac:dyDescent="0.25">
      <c r="A7" s="50" t="s">
        <v>12</v>
      </c>
      <c r="B7" s="50" t="s">
        <v>251</v>
      </c>
      <c r="C7" s="50" t="s">
        <v>140</v>
      </c>
      <c r="D7" s="50" t="s">
        <v>140</v>
      </c>
      <c r="E7" s="50">
        <v>1000000</v>
      </c>
      <c r="F7" s="50">
        <v>86500</v>
      </c>
      <c r="G7" s="50">
        <v>0</v>
      </c>
      <c r="H7" s="50">
        <v>1000000</v>
      </c>
      <c r="I7" s="51" t="s">
        <v>243</v>
      </c>
      <c r="J7" s="51" t="s">
        <v>272</v>
      </c>
      <c r="K7" s="52">
        <v>1000000</v>
      </c>
      <c r="L7" s="52">
        <v>432000</v>
      </c>
      <c r="M7" s="52">
        <f>L7/24</f>
        <v>18000</v>
      </c>
      <c r="N7" s="52">
        <f>K7-L7</f>
        <v>568000</v>
      </c>
      <c r="O7" s="52">
        <f>N7/24</f>
        <v>23666.666666666668</v>
      </c>
      <c r="P7" s="87">
        <v>18</v>
      </c>
      <c r="Q7" s="50">
        <v>23.7</v>
      </c>
    </row>
    <row r="8" spans="1:18" ht="21.75" customHeight="1" x14ac:dyDescent="0.25">
      <c r="A8" s="10" t="s">
        <v>15</v>
      </c>
      <c r="B8" s="10" t="s">
        <v>100</v>
      </c>
      <c r="C8" s="10" t="s">
        <v>133</v>
      </c>
      <c r="D8" s="10" t="s">
        <v>185</v>
      </c>
      <c r="E8" s="10">
        <v>300000</v>
      </c>
      <c r="F8" s="10">
        <v>100000</v>
      </c>
      <c r="G8" s="10">
        <v>0</v>
      </c>
      <c r="H8" s="10">
        <v>300000</v>
      </c>
      <c r="I8" s="20" t="s">
        <v>241</v>
      </c>
      <c r="J8" s="20" t="str">
        <f>IF((((SUM(H8))*0.6)/24)&lt;=M8,"TRUE","FALSE")</f>
        <v>TRUE</v>
      </c>
      <c r="K8" s="21">
        <v>300000</v>
      </c>
      <c r="L8" s="21">
        <f>K8*0.6</f>
        <v>180000</v>
      </c>
      <c r="M8" s="21">
        <f>L8/24</f>
        <v>7500</v>
      </c>
      <c r="N8" s="21">
        <f>K8-L8</f>
        <v>120000</v>
      </c>
      <c r="O8" s="21">
        <f>N8/24</f>
        <v>5000</v>
      </c>
      <c r="P8" s="22">
        <v>7.5</v>
      </c>
      <c r="Q8" s="10">
        <v>5</v>
      </c>
    </row>
    <row r="9" spans="1:18" ht="21.75" customHeight="1" x14ac:dyDescent="0.25">
      <c r="A9" s="88" t="s">
        <v>16</v>
      </c>
      <c r="B9" s="88" t="s">
        <v>101</v>
      </c>
      <c r="C9" s="88" t="s">
        <v>133</v>
      </c>
      <c r="D9" s="88" t="s">
        <v>185</v>
      </c>
      <c r="E9" s="88">
        <v>100000</v>
      </c>
      <c r="F9" s="88">
        <v>100000</v>
      </c>
      <c r="G9" s="88">
        <v>0</v>
      </c>
      <c r="H9" s="88">
        <v>100000</v>
      </c>
      <c r="I9" s="89" t="s">
        <v>241</v>
      </c>
      <c r="J9" s="90" t="str">
        <f>IF((((SUM(H9,))*0.6)/24)&lt;=M9,"TRUE","FALSE")</f>
        <v>TRUE</v>
      </c>
      <c r="K9" s="279">
        <f>SUM(H9:H10)</f>
        <v>436535</v>
      </c>
      <c r="L9" s="279">
        <v>240000</v>
      </c>
      <c r="M9" s="279">
        <f>L9/24</f>
        <v>10000</v>
      </c>
      <c r="N9" s="279">
        <f>K9-L9</f>
        <v>196535</v>
      </c>
      <c r="O9" s="279">
        <f>N9/24</f>
        <v>8188.958333333333</v>
      </c>
      <c r="P9" s="277">
        <v>10</v>
      </c>
      <c r="Q9" s="308">
        <v>8.1999999999999993</v>
      </c>
    </row>
    <row r="10" spans="1:18" ht="21.75" customHeight="1" x14ac:dyDescent="0.25">
      <c r="A10" s="88" t="s">
        <v>19</v>
      </c>
      <c r="B10" s="88" t="s">
        <v>101</v>
      </c>
      <c r="C10" s="88" t="s">
        <v>143</v>
      </c>
      <c r="D10" s="88" t="s">
        <v>192</v>
      </c>
      <c r="E10" s="88">
        <v>500000</v>
      </c>
      <c r="F10" s="88">
        <v>75000</v>
      </c>
      <c r="G10" s="88">
        <v>163465</v>
      </c>
      <c r="H10" s="88">
        <v>336535</v>
      </c>
      <c r="I10" s="89" t="s">
        <v>243</v>
      </c>
      <c r="J10" s="91" t="s">
        <v>272</v>
      </c>
      <c r="K10" s="280"/>
      <c r="L10" s="280"/>
      <c r="M10" s="280"/>
      <c r="N10" s="280"/>
      <c r="O10" s="280"/>
      <c r="P10" s="278"/>
      <c r="Q10" s="309"/>
    </row>
    <row r="11" spans="1:18" ht="21.75" customHeight="1" x14ac:dyDescent="0.25">
      <c r="A11" s="25" t="s">
        <v>23</v>
      </c>
      <c r="B11" s="25" t="s">
        <v>102</v>
      </c>
      <c r="C11" s="25" t="s">
        <v>133</v>
      </c>
      <c r="D11" s="25" t="s">
        <v>185</v>
      </c>
      <c r="E11" s="25">
        <v>700000</v>
      </c>
      <c r="F11" s="25">
        <v>100000</v>
      </c>
      <c r="G11" s="25">
        <v>0</v>
      </c>
      <c r="H11" s="25">
        <v>700000</v>
      </c>
      <c r="I11" s="26" t="s">
        <v>241</v>
      </c>
      <c r="J11" s="26" t="str">
        <f>IF(((H11*0.6)/24)&lt;=M11,"TRUE","FALSE")</f>
        <v>FALSE</v>
      </c>
      <c r="K11" s="27">
        <v>700000</v>
      </c>
      <c r="L11" s="27">
        <v>0</v>
      </c>
      <c r="M11" s="27">
        <v>0</v>
      </c>
      <c r="N11" s="27">
        <f>K11-L11</f>
        <v>700000</v>
      </c>
      <c r="O11" s="27">
        <f>N11/48</f>
        <v>14583.333333333334</v>
      </c>
      <c r="P11" s="28">
        <v>0</v>
      </c>
      <c r="Q11" s="25">
        <v>14.6</v>
      </c>
    </row>
    <row r="12" spans="1:18" ht="21.75" customHeight="1" x14ac:dyDescent="0.25">
      <c r="A12" s="29" t="s">
        <v>22</v>
      </c>
      <c r="B12" s="29" t="s">
        <v>102</v>
      </c>
      <c r="C12" s="29" t="s">
        <v>144</v>
      </c>
      <c r="D12" s="29" t="s">
        <v>144</v>
      </c>
      <c r="E12" s="29">
        <v>150000</v>
      </c>
      <c r="F12" s="29">
        <v>89000</v>
      </c>
      <c r="G12" s="29">
        <v>0</v>
      </c>
      <c r="H12" s="29">
        <v>150000</v>
      </c>
      <c r="I12" s="30" t="s">
        <v>243</v>
      </c>
      <c r="J12" s="76" t="s">
        <v>272</v>
      </c>
      <c r="K12" s="310">
        <v>550585</v>
      </c>
      <c r="L12" s="310">
        <f>K12*0.6</f>
        <v>330351</v>
      </c>
      <c r="M12" s="310">
        <f>L12/24</f>
        <v>13764.625</v>
      </c>
      <c r="N12" s="310">
        <f>K12-L12</f>
        <v>220234</v>
      </c>
      <c r="O12" s="310">
        <f>N12/24</f>
        <v>9176.4166666666661</v>
      </c>
      <c r="P12" s="312">
        <v>13.7</v>
      </c>
      <c r="Q12" s="314">
        <v>9.1999999999999993</v>
      </c>
    </row>
    <row r="13" spans="1:18" ht="21.75" customHeight="1" x14ac:dyDescent="0.25">
      <c r="A13" s="29" t="s">
        <v>24</v>
      </c>
      <c r="B13" s="29" t="s">
        <v>102</v>
      </c>
      <c r="C13" s="29" t="s">
        <v>145</v>
      </c>
      <c r="D13" s="29" t="s">
        <v>195</v>
      </c>
      <c r="E13" s="29">
        <v>500000</v>
      </c>
      <c r="F13" s="29">
        <v>70000</v>
      </c>
      <c r="G13" s="29">
        <v>99415</v>
      </c>
      <c r="H13" s="29">
        <v>400585</v>
      </c>
      <c r="I13" s="30" t="s">
        <v>243</v>
      </c>
      <c r="J13" s="77" t="s">
        <v>272</v>
      </c>
      <c r="K13" s="311"/>
      <c r="L13" s="311"/>
      <c r="M13" s="311"/>
      <c r="N13" s="311"/>
      <c r="O13" s="311"/>
      <c r="P13" s="313"/>
      <c r="Q13" s="315"/>
    </row>
    <row r="14" spans="1:18" ht="21.75" customHeight="1" x14ac:dyDescent="0.25">
      <c r="A14" s="31" t="s">
        <v>28</v>
      </c>
      <c r="B14" s="31" t="s">
        <v>252</v>
      </c>
      <c r="C14" s="31" t="s">
        <v>133</v>
      </c>
      <c r="D14" s="31" t="s">
        <v>185</v>
      </c>
      <c r="E14" s="31">
        <v>1000000</v>
      </c>
      <c r="F14" s="31">
        <v>100000</v>
      </c>
      <c r="G14" s="31">
        <v>0</v>
      </c>
      <c r="H14" s="31">
        <v>1000000</v>
      </c>
      <c r="I14" s="32" t="s">
        <v>241</v>
      </c>
      <c r="J14" s="32" t="str">
        <f>IF((((SUM(H14))*0.6)/24)&lt;=M14,"TRUE","FALSE")</f>
        <v>FALSE</v>
      </c>
      <c r="K14" s="31">
        <v>1000000</v>
      </c>
      <c r="L14" s="31">
        <v>480000</v>
      </c>
      <c r="M14" s="31">
        <f>L14/24</f>
        <v>20000</v>
      </c>
      <c r="N14" s="31">
        <f>K14-L14</f>
        <v>520000</v>
      </c>
      <c r="O14" s="31">
        <f>N14/24</f>
        <v>21666.666666666668</v>
      </c>
      <c r="P14" s="31">
        <v>25</v>
      </c>
      <c r="Q14" s="31">
        <v>21.6</v>
      </c>
      <c r="R14" s="15"/>
    </row>
    <row r="15" spans="1:18" ht="21.75" customHeight="1" x14ac:dyDescent="0.25">
      <c r="A15" s="31" t="s">
        <v>29</v>
      </c>
      <c r="B15" s="31" t="s">
        <v>252</v>
      </c>
      <c r="C15" s="31" t="s">
        <v>148</v>
      </c>
      <c r="D15" s="31" t="s">
        <v>198</v>
      </c>
      <c r="E15" s="31">
        <v>300000</v>
      </c>
      <c r="F15" s="31">
        <v>75000</v>
      </c>
      <c r="G15" s="31">
        <v>134105</v>
      </c>
      <c r="H15" s="31">
        <v>165895</v>
      </c>
      <c r="I15" s="32" t="s">
        <v>243</v>
      </c>
      <c r="J15" s="78" t="s">
        <v>272</v>
      </c>
      <c r="K15" s="33">
        <v>165895</v>
      </c>
      <c r="L15" s="33">
        <v>0</v>
      </c>
      <c r="M15" s="33">
        <v>0</v>
      </c>
      <c r="N15" s="33">
        <v>165895</v>
      </c>
      <c r="O15" s="33">
        <f>N15/24</f>
        <v>6912.291666666667</v>
      </c>
      <c r="P15" s="33">
        <v>0</v>
      </c>
      <c r="Q15" s="31">
        <v>7</v>
      </c>
      <c r="R15" s="15"/>
    </row>
    <row r="16" spans="1:18" ht="21.75" customHeight="1" x14ac:dyDescent="0.25">
      <c r="A16" s="23" t="s">
        <v>34</v>
      </c>
      <c r="B16" s="23" t="s">
        <v>253</v>
      </c>
      <c r="C16" s="23" t="s">
        <v>152</v>
      </c>
      <c r="D16" s="23" t="s">
        <v>152</v>
      </c>
      <c r="E16" s="23">
        <v>50000</v>
      </c>
      <c r="F16" s="23">
        <v>66200</v>
      </c>
      <c r="G16" s="23">
        <v>0</v>
      </c>
      <c r="H16" s="23">
        <v>50000</v>
      </c>
      <c r="I16" s="24" t="s">
        <v>240</v>
      </c>
      <c r="J16" s="74" t="s">
        <v>272</v>
      </c>
      <c r="K16" s="288">
        <f>SUM(H16:H21)</f>
        <v>947120</v>
      </c>
      <c r="L16" s="288">
        <v>480000</v>
      </c>
      <c r="M16" s="288">
        <f>L16/24</f>
        <v>20000</v>
      </c>
      <c r="N16" s="288">
        <f>K16-L16</f>
        <v>467120</v>
      </c>
      <c r="O16" s="288">
        <f>N16/24</f>
        <v>19463.333333333332</v>
      </c>
      <c r="P16" s="281">
        <v>20</v>
      </c>
      <c r="Q16" s="302">
        <v>19.5</v>
      </c>
    </row>
    <row r="17" spans="1:18" ht="21.75" customHeight="1" x14ac:dyDescent="0.25">
      <c r="A17" s="23" t="s">
        <v>35</v>
      </c>
      <c r="B17" s="23" t="s">
        <v>253</v>
      </c>
      <c r="C17" s="23" t="s">
        <v>133</v>
      </c>
      <c r="D17" s="23" t="s">
        <v>185</v>
      </c>
      <c r="E17" s="23">
        <v>180000</v>
      </c>
      <c r="F17" s="23">
        <v>100000</v>
      </c>
      <c r="G17" s="23">
        <v>0</v>
      </c>
      <c r="H17" s="23">
        <v>180000</v>
      </c>
      <c r="I17" s="24" t="s">
        <v>241</v>
      </c>
      <c r="J17" s="303" t="str">
        <f>IF((((SUM(H17:H19))*0.6)/24)&lt;=M16,"TRUE","FALSE")</f>
        <v>TRUE</v>
      </c>
      <c r="K17" s="289"/>
      <c r="L17" s="289"/>
      <c r="M17" s="289"/>
      <c r="N17" s="289"/>
      <c r="O17" s="289"/>
      <c r="P17" s="282"/>
      <c r="Q17" s="303"/>
    </row>
    <row r="18" spans="1:18" ht="21.75" customHeight="1" x14ac:dyDescent="0.25">
      <c r="A18" s="23" t="s">
        <v>36</v>
      </c>
      <c r="B18" s="23" t="s">
        <v>253</v>
      </c>
      <c r="C18" s="23" t="s">
        <v>133</v>
      </c>
      <c r="D18" s="23" t="s">
        <v>185</v>
      </c>
      <c r="E18" s="23">
        <v>300000</v>
      </c>
      <c r="F18" s="23">
        <v>100000</v>
      </c>
      <c r="G18" s="23">
        <v>0</v>
      </c>
      <c r="H18" s="23">
        <v>300000</v>
      </c>
      <c r="I18" s="24" t="s">
        <v>241</v>
      </c>
      <c r="J18" s="303"/>
      <c r="K18" s="289"/>
      <c r="L18" s="289"/>
      <c r="M18" s="289"/>
      <c r="N18" s="289"/>
      <c r="O18" s="289"/>
      <c r="P18" s="282"/>
      <c r="Q18" s="303"/>
    </row>
    <row r="19" spans="1:18" ht="21.75" customHeight="1" x14ac:dyDescent="0.25">
      <c r="A19" s="23" t="s">
        <v>37</v>
      </c>
      <c r="B19" s="23" t="s">
        <v>253</v>
      </c>
      <c r="C19" s="23" t="s">
        <v>152</v>
      </c>
      <c r="D19" s="23" t="s">
        <v>185</v>
      </c>
      <c r="E19" s="23">
        <v>300000</v>
      </c>
      <c r="F19" s="23">
        <v>100000</v>
      </c>
      <c r="G19" s="23">
        <v>0</v>
      </c>
      <c r="H19" s="23">
        <v>300000</v>
      </c>
      <c r="I19" s="24" t="s">
        <v>241</v>
      </c>
      <c r="J19" s="303"/>
      <c r="K19" s="289"/>
      <c r="L19" s="289"/>
      <c r="M19" s="289"/>
      <c r="N19" s="289"/>
      <c r="O19" s="289"/>
      <c r="P19" s="282"/>
      <c r="Q19" s="303"/>
    </row>
    <row r="20" spans="1:18" ht="21.75" customHeight="1" x14ac:dyDescent="0.25">
      <c r="A20" s="23" t="s">
        <v>38</v>
      </c>
      <c r="B20" s="23" t="s">
        <v>253</v>
      </c>
      <c r="C20" s="23" t="s">
        <v>153</v>
      </c>
      <c r="D20" s="23" t="s">
        <v>153</v>
      </c>
      <c r="E20" s="23">
        <v>50000</v>
      </c>
      <c r="F20" s="23">
        <v>83800</v>
      </c>
      <c r="G20" s="23">
        <v>0</v>
      </c>
      <c r="H20" s="23">
        <v>50000</v>
      </c>
      <c r="I20" s="24" t="s">
        <v>242</v>
      </c>
      <c r="J20" s="79" t="s">
        <v>272</v>
      </c>
      <c r="K20" s="289"/>
      <c r="L20" s="289"/>
      <c r="M20" s="289"/>
      <c r="N20" s="289"/>
      <c r="O20" s="289"/>
      <c r="P20" s="282"/>
      <c r="Q20" s="303"/>
    </row>
    <row r="21" spans="1:18" ht="21.75" customHeight="1" x14ac:dyDescent="0.25">
      <c r="A21" s="23" t="s">
        <v>39</v>
      </c>
      <c r="B21" s="23" t="s">
        <v>253</v>
      </c>
      <c r="C21" s="23" t="s">
        <v>154</v>
      </c>
      <c r="D21" s="23" t="s">
        <v>201</v>
      </c>
      <c r="E21" s="23">
        <v>85900</v>
      </c>
      <c r="F21" s="23">
        <v>65000</v>
      </c>
      <c r="G21" s="23">
        <v>18780</v>
      </c>
      <c r="H21" s="23">
        <v>67120</v>
      </c>
      <c r="I21" s="24" t="s">
        <v>240</v>
      </c>
      <c r="J21" s="75" t="s">
        <v>272</v>
      </c>
      <c r="K21" s="290"/>
      <c r="L21" s="290"/>
      <c r="M21" s="290"/>
      <c r="N21" s="290"/>
      <c r="O21" s="290"/>
      <c r="P21" s="283"/>
      <c r="Q21" s="304"/>
    </row>
    <row r="22" spans="1:18" ht="21.75" customHeight="1" x14ac:dyDescent="0.25">
      <c r="A22" s="34" t="s">
        <v>43</v>
      </c>
      <c r="B22" s="34" t="s">
        <v>105</v>
      </c>
      <c r="C22" s="34" t="s">
        <v>133</v>
      </c>
      <c r="D22" s="34" t="s">
        <v>185</v>
      </c>
      <c r="E22" s="34">
        <v>600000</v>
      </c>
      <c r="F22" s="34">
        <v>100000</v>
      </c>
      <c r="G22" s="34">
        <v>0</v>
      </c>
      <c r="H22" s="34">
        <v>600000</v>
      </c>
      <c r="I22" s="35" t="s">
        <v>241</v>
      </c>
      <c r="J22" s="35" t="str">
        <f>IF(((H22*0.6)/24)&lt;=M22,"TRUE","FALSE")</f>
        <v>TRUE</v>
      </c>
      <c r="K22" s="36">
        <v>600000</v>
      </c>
      <c r="L22" s="36">
        <f>K22*0.6</f>
        <v>360000</v>
      </c>
      <c r="M22" s="36">
        <f>L22/24</f>
        <v>15000</v>
      </c>
      <c r="N22" s="36">
        <v>240000</v>
      </c>
      <c r="O22" s="36">
        <f>N22/24</f>
        <v>10000</v>
      </c>
      <c r="P22" s="37">
        <v>15</v>
      </c>
      <c r="Q22" s="34">
        <v>10</v>
      </c>
    </row>
    <row r="23" spans="1:18" ht="21.75" customHeight="1" x14ac:dyDescent="0.25">
      <c r="A23" s="38" t="s">
        <v>44</v>
      </c>
      <c r="B23" s="38" t="s">
        <v>106</v>
      </c>
      <c r="C23" s="38" t="s">
        <v>157</v>
      </c>
      <c r="D23" s="38" t="s">
        <v>157</v>
      </c>
      <c r="E23" s="38">
        <v>1000000</v>
      </c>
      <c r="F23" s="38">
        <v>80000</v>
      </c>
      <c r="G23" s="38">
        <v>0</v>
      </c>
      <c r="H23" s="38">
        <v>1000000</v>
      </c>
      <c r="I23" s="39" t="s">
        <v>243</v>
      </c>
      <c r="J23" s="80" t="s">
        <v>272</v>
      </c>
      <c r="K23" s="284">
        <v>1035000</v>
      </c>
      <c r="L23" s="284">
        <v>480000</v>
      </c>
      <c r="M23" s="284">
        <f>L23/24</f>
        <v>20000</v>
      </c>
      <c r="N23" s="284">
        <f>K23-L23</f>
        <v>555000</v>
      </c>
      <c r="O23" s="284">
        <f>N23/24</f>
        <v>23125</v>
      </c>
      <c r="P23" s="286">
        <v>20</v>
      </c>
      <c r="Q23" s="305">
        <v>23</v>
      </c>
    </row>
    <row r="24" spans="1:18" ht="21.75" customHeight="1" x14ac:dyDescent="0.25">
      <c r="A24" s="38" t="s">
        <v>45</v>
      </c>
      <c r="B24" s="38" t="s">
        <v>106</v>
      </c>
      <c r="C24" s="38" t="s">
        <v>154</v>
      </c>
      <c r="D24" s="38" t="s">
        <v>203</v>
      </c>
      <c r="E24" s="38">
        <v>300000</v>
      </c>
      <c r="F24" s="38">
        <v>80000</v>
      </c>
      <c r="G24" s="38">
        <v>249590</v>
      </c>
      <c r="H24" s="38">
        <v>35000</v>
      </c>
      <c r="I24" s="39" t="s">
        <v>243</v>
      </c>
      <c r="J24" s="81" t="s">
        <v>272</v>
      </c>
      <c r="K24" s="285"/>
      <c r="L24" s="285"/>
      <c r="M24" s="285"/>
      <c r="N24" s="285"/>
      <c r="O24" s="285"/>
      <c r="P24" s="287"/>
      <c r="Q24" s="306"/>
    </row>
    <row r="25" spans="1:18" ht="21.75" customHeight="1" x14ac:dyDescent="0.25">
      <c r="A25" s="10" t="s">
        <v>50</v>
      </c>
      <c r="B25" s="10" t="s">
        <v>107</v>
      </c>
      <c r="C25" s="10" t="s">
        <v>145</v>
      </c>
      <c r="D25" s="10" t="s">
        <v>205</v>
      </c>
      <c r="E25" s="10">
        <v>3500000</v>
      </c>
      <c r="F25" s="10">
        <v>70000</v>
      </c>
      <c r="G25" s="10">
        <v>1591150</v>
      </c>
      <c r="H25" s="10">
        <v>1908850</v>
      </c>
      <c r="I25" s="20" t="s">
        <v>243</v>
      </c>
      <c r="J25" s="20" t="s">
        <v>272</v>
      </c>
      <c r="K25" s="21">
        <v>1908850</v>
      </c>
      <c r="L25" s="21">
        <v>912000</v>
      </c>
      <c r="M25" s="21">
        <f>L25/24</f>
        <v>38000</v>
      </c>
      <c r="N25" s="21">
        <f>K25-L25</f>
        <v>996850</v>
      </c>
      <c r="O25" s="21">
        <f>N25/24</f>
        <v>41535.416666666664</v>
      </c>
      <c r="P25" s="22">
        <v>38</v>
      </c>
      <c r="Q25" s="10">
        <v>41.5</v>
      </c>
    </row>
    <row r="26" spans="1:18" ht="21.75" customHeight="1" x14ac:dyDescent="0.25">
      <c r="A26" s="40" t="s">
        <v>56</v>
      </c>
      <c r="B26" s="40" t="s">
        <v>109</v>
      </c>
      <c r="C26" s="40" t="s">
        <v>133</v>
      </c>
      <c r="D26" s="40" t="s">
        <v>185</v>
      </c>
      <c r="E26" s="40">
        <v>2500000</v>
      </c>
      <c r="F26" s="40">
        <v>100000</v>
      </c>
      <c r="G26" s="40">
        <v>0</v>
      </c>
      <c r="H26" s="40">
        <v>2500000</v>
      </c>
      <c r="I26" s="41" t="s">
        <v>241</v>
      </c>
      <c r="J26" s="41" t="str">
        <f>IF((((SUM(H26))*0.6)/24)&lt;=M26,"TRUE","FALSE")</f>
        <v>FALSE</v>
      </c>
      <c r="K26" s="42">
        <v>2500000</v>
      </c>
      <c r="L26" s="42">
        <v>1440000</v>
      </c>
      <c r="M26" s="42">
        <f>L26/24</f>
        <v>60000</v>
      </c>
      <c r="N26" s="42">
        <f>K26-L26</f>
        <v>1060000</v>
      </c>
      <c r="O26" s="42">
        <f>N26/24</f>
        <v>44166.666666666664</v>
      </c>
      <c r="P26" s="43">
        <v>60</v>
      </c>
      <c r="Q26" s="40">
        <v>44</v>
      </c>
    </row>
    <row r="27" spans="1:18" s="15" customFormat="1" ht="21.75" customHeight="1" x14ac:dyDescent="0.25">
      <c r="A27" s="12" t="s">
        <v>57</v>
      </c>
      <c r="B27" s="12" t="s">
        <v>110</v>
      </c>
      <c r="C27" s="12" t="s">
        <v>163</v>
      </c>
      <c r="D27" s="12" t="s">
        <v>210</v>
      </c>
      <c r="E27" s="12">
        <v>500000</v>
      </c>
      <c r="F27" s="12">
        <v>78000</v>
      </c>
      <c r="G27" s="12">
        <v>395675</v>
      </c>
      <c r="H27" s="12">
        <v>104325</v>
      </c>
      <c r="I27" s="13" t="s">
        <v>243</v>
      </c>
      <c r="J27" s="13" t="s">
        <v>272</v>
      </c>
      <c r="K27" s="14"/>
      <c r="L27" s="14"/>
      <c r="M27" s="14"/>
      <c r="N27" s="14"/>
      <c r="O27" s="14"/>
      <c r="P27" s="17"/>
      <c r="Q27" s="12"/>
    </row>
    <row r="28" spans="1:18" ht="21.75" customHeight="1" x14ac:dyDescent="0.25">
      <c r="A28" s="44" t="s">
        <v>61</v>
      </c>
      <c r="B28" s="44" t="s">
        <v>254</v>
      </c>
      <c r="C28" s="44" t="s">
        <v>165</v>
      </c>
      <c r="D28" s="44" t="s">
        <v>213</v>
      </c>
      <c r="E28" s="44">
        <v>1000000</v>
      </c>
      <c r="F28" s="44">
        <v>75000</v>
      </c>
      <c r="G28" s="44">
        <v>613860</v>
      </c>
      <c r="H28" s="44">
        <v>386140</v>
      </c>
      <c r="I28" s="45" t="s">
        <v>243</v>
      </c>
      <c r="J28" s="45" t="s">
        <v>272</v>
      </c>
      <c r="K28" s="46">
        <v>386140</v>
      </c>
      <c r="L28" s="46">
        <v>386140</v>
      </c>
      <c r="M28" s="46">
        <f>L28/24</f>
        <v>16089.166666666666</v>
      </c>
      <c r="N28" s="46">
        <v>0</v>
      </c>
      <c r="O28" s="46">
        <v>0</v>
      </c>
      <c r="P28" s="47">
        <v>18</v>
      </c>
      <c r="Q28" s="44">
        <v>0</v>
      </c>
      <c r="R28" s="1" t="s">
        <v>270</v>
      </c>
    </row>
    <row r="29" spans="1:18" ht="21.75" customHeight="1" x14ac:dyDescent="0.25">
      <c r="A29" s="48" t="s">
        <v>62</v>
      </c>
      <c r="B29" s="48" t="s">
        <v>255</v>
      </c>
      <c r="C29" s="48" t="s">
        <v>166</v>
      </c>
      <c r="D29" s="48" t="s">
        <v>166</v>
      </c>
      <c r="E29" s="48">
        <v>500000</v>
      </c>
      <c r="F29" s="48">
        <v>75000</v>
      </c>
      <c r="G29" s="48">
        <v>0</v>
      </c>
      <c r="H29" s="48">
        <v>500000</v>
      </c>
      <c r="I29" s="49" t="s">
        <v>243</v>
      </c>
      <c r="J29" s="82" t="s">
        <v>272</v>
      </c>
      <c r="K29" s="297">
        <v>500945</v>
      </c>
      <c r="L29" s="297">
        <v>500945</v>
      </c>
      <c r="M29" s="297">
        <f>L29/24</f>
        <v>20872.708333333332</v>
      </c>
      <c r="N29" s="297">
        <v>0</v>
      </c>
      <c r="O29" s="297">
        <v>0</v>
      </c>
      <c r="P29" s="316">
        <v>22</v>
      </c>
      <c r="Q29" s="297">
        <v>0</v>
      </c>
      <c r="R29" s="307" t="s">
        <v>271</v>
      </c>
    </row>
    <row r="30" spans="1:18" ht="21.75" customHeight="1" x14ac:dyDescent="0.25">
      <c r="A30" s="48" t="s">
        <v>63</v>
      </c>
      <c r="B30" s="48" t="s">
        <v>255</v>
      </c>
      <c r="C30" s="48" t="s">
        <v>160</v>
      </c>
      <c r="D30" s="48" t="s">
        <v>214</v>
      </c>
      <c r="E30" s="48">
        <v>300000</v>
      </c>
      <c r="F30" s="48">
        <v>75000</v>
      </c>
      <c r="G30" s="48">
        <v>299055</v>
      </c>
      <c r="H30" s="48">
        <v>945</v>
      </c>
      <c r="I30" s="49" t="s">
        <v>243</v>
      </c>
      <c r="J30" s="83" t="s">
        <v>272</v>
      </c>
      <c r="K30" s="298"/>
      <c r="L30" s="298"/>
      <c r="M30" s="298"/>
      <c r="N30" s="298"/>
      <c r="O30" s="298"/>
      <c r="P30" s="317"/>
      <c r="Q30" s="298"/>
      <c r="R30" s="307"/>
    </row>
    <row r="31" spans="1:18" ht="21.75" customHeight="1" x14ac:dyDescent="0.25">
      <c r="A31" s="50" t="s">
        <v>67</v>
      </c>
      <c r="B31" s="50" t="s">
        <v>116</v>
      </c>
      <c r="C31" s="50" t="s">
        <v>169</v>
      </c>
      <c r="D31" s="50" t="s">
        <v>169</v>
      </c>
      <c r="E31" s="50">
        <v>51540</v>
      </c>
      <c r="F31" s="50">
        <v>65000</v>
      </c>
      <c r="G31" s="50">
        <v>0</v>
      </c>
      <c r="H31" s="50">
        <v>51540</v>
      </c>
      <c r="I31" s="51" t="s">
        <v>240</v>
      </c>
      <c r="J31" s="84" t="s">
        <v>272</v>
      </c>
      <c r="K31" s="294">
        <v>1837860</v>
      </c>
      <c r="L31" s="299">
        <f>K31*0.6</f>
        <v>1102716</v>
      </c>
      <c r="M31" s="299">
        <f>L31/24</f>
        <v>45946.5</v>
      </c>
      <c r="N31" s="299">
        <f>K31*0.4</f>
        <v>735144</v>
      </c>
      <c r="O31" s="299">
        <f>N31/24</f>
        <v>30631</v>
      </c>
      <c r="P31" s="291">
        <v>46</v>
      </c>
      <c r="Q31" s="294">
        <v>30.6</v>
      </c>
    </row>
    <row r="32" spans="1:18" ht="21.75" customHeight="1" x14ac:dyDescent="0.25">
      <c r="A32" s="50" t="s">
        <v>68</v>
      </c>
      <c r="B32" s="50" t="s">
        <v>116</v>
      </c>
      <c r="C32" s="50" t="s">
        <v>133</v>
      </c>
      <c r="D32" s="50" t="s">
        <v>185</v>
      </c>
      <c r="E32" s="50">
        <v>300000</v>
      </c>
      <c r="F32" s="50">
        <v>100000</v>
      </c>
      <c r="G32" s="50">
        <v>0</v>
      </c>
      <c r="H32" s="50">
        <v>300000</v>
      </c>
      <c r="I32" s="51" t="s">
        <v>241</v>
      </c>
      <c r="J32" s="295" t="str">
        <f>IF((((SUM(H32:H33))*0.6)/24)&lt;=M31,"TRUE","FALSE")</f>
        <v>TRUE</v>
      </c>
      <c r="K32" s="295"/>
      <c r="L32" s="300"/>
      <c r="M32" s="300"/>
      <c r="N32" s="300"/>
      <c r="O32" s="300"/>
      <c r="P32" s="292"/>
      <c r="Q32" s="295"/>
    </row>
    <row r="33" spans="1:18" ht="21.75" customHeight="1" x14ac:dyDescent="0.25">
      <c r="A33" s="50" t="s">
        <v>69</v>
      </c>
      <c r="B33" s="50" t="s">
        <v>116</v>
      </c>
      <c r="C33" s="50" t="s">
        <v>170</v>
      </c>
      <c r="D33" s="50" t="s">
        <v>185</v>
      </c>
      <c r="E33" s="50">
        <v>1000000</v>
      </c>
      <c r="F33" s="50">
        <v>100000</v>
      </c>
      <c r="G33" s="50">
        <v>0</v>
      </c>
      <c r="H33" s="50">
        <v>1000000</v>
      </c>
      <c r="I33" s="51" t="s">
        <v>241</v>
      </c>
      <c r="J33" s="295"/>
      <c r="K33" s="295"/>
      <c r="L33" s="300"/>
      <c r="M33" s="300"/>
      <c r="N33" s="300"/>
      <c r="O33" s="300"/>
      <c r="P33" s="292"/>
      <c r="Q33" s="295"/>
    </row>
    <row r="34" spans="1:18" ht="21.75" customHeight="1" x14ac:dyDescent="0.25">
      <c r="A34" s="50" t="s">
        <v>70</v>
      </c>
      <c r="B34" s="50" t="s">
        <v>116</v>
      </c>
      <c r="C34" s="50" t="s">
        <v>134</v>
      </c>
      <c r="D34" s="50" t="s">
        <v>134</v>
      </c>
      <c r="E34" s="50">
        <v>30000</v>
      </c>
      <c r="F34" s="50">
        <v>92179</v>
      </c>
      <c r="G34" s="50">
        <v>0</v>
      </c>
      <c r="H34" s="50">
        <v>30000</v>
      </c>
      <c r="I34" s="51" t="s">
        <v>242</v>
      </c>
      <c r="J34" s="85" t="s">
        <v>272</v>
      </c>
      <c r="K34" s="295"/>
      <c r="L34" s="300"/>
      <c r="M34" s="300"/>
      <c r="N34" s="300"/>
      <c r="O34" s="300"/>
      <c r="P34" s="292"/>
      <c r="Q34" s="295"/>
    </row>
    <row r="35" spans="1:18" ht="21.75" customHeight="1" x14ac:dyDescent="0.25">
      <c r="A35" s="50" t="s">
        <v>71</v>
      </c>
      <c r="B35" s="50" t="s">
        <v>116</v>
      </c>
      <c r="C35" s="50" t="s">
        <v>171</v>
      </c>
      <c r="D35" s="50" t="s">
        <v>171</v>
      </c>
      <c r="E35" s="50">
        <v>50000</v>
      </c>
      <c r="F35" s="50">
        <v>83800</v>
      </c>
      <c r="G35" s="50">
        <v>0</v>
      </c>
      <c r="H35" s="50">
        <v>50000</v>
      </c>
      <c r="I35" s="51" t="s">
        <v>242</v>
      </c>
      <c r="J35" s="86" t="s">
        <v>272</v>
      </c>
      <c r="K35" s="296"/>
      <c r="L35" s="301"/>
      <c r="M35" s="301"/>
      <c r="N35" s="301"/>
      <c r="O35" s="301"/>
      <c r="P35" s="293"/>
      <c r="Q35" s="296"/>
    </row>
    <row r="36" spans="1:18" ht="21.75" customHeight="1" x14ac:dyDescent="0.25">
      <c r="A36" s="50" t="s">
        <v>77</v>
      </c>
      <c r="B36" s="50" t="s">
        <v>116</v>
      </c>
      <c r="C36" s="50" t="s">
        <v>139</v>
      </c>
      <c r="D36" s="50" t="s">
        <v>222</v>
      </c>
      <c r="E36" s="50">
        <v>3941960</v>
      </c>
      <c r="F36" s="50">
        <v>68500</v>
      </c>
      <c r="G36" s="50">
        <v>2735640</v>
      </c>
      <c r="H36" s="50">
        <v>1206320</v>
      </c>
      <c r="I36" s="51" t="s">
        <v>243</v>
      </c>
      <c r="J36" s="51" t="s">
        <v>272</v>
      </c>
      <c r="K36" s="52">
        <v>0</v>
      </c>
      <c r="L36" s="52">
        <v>0</v>
      </c>
      <c r="M36" s="52">
        <v>0</v>
      </c>
      <c r="N36" s="52">
        <v>800000</v>
      </c>
      <c r="O36" s="52">
        <v>34</v>
      </c>
      <c r="P36" s="50">
        <v>0</v>
      </c>
      <c r="Q36" s="50">
        <v>34</v>
      </c>
    </row>
    <row r="37" spans="1:18" ht="21.75" customHeight="1" x14ac:dyDescent="0.25">
      <c r="A37" s="53" t="s">
        <v>78</v>
      </c>
      <c r="B37" s="53" t="s">
        <v>117</v>
      </c>
      <c r="C37" s="53" t="s">
        <v>133</v>
      </c>
      <c r="D37" s="53" t="s">
        <v>185</v>
      </c>
      <c r="E37" s="53">
        <v>180000</v>
      </c>
      <c r="F37" s="53">
        <v>100000</v>
      </c>
      <c r="G37" s="53">
        <v>0</v>
      </c>
      <c r="H37" s="53">
        <v>180000</v>
      </c>
      <c r="I37" s="54" t="s">
        <v>241</v>
      </c>
      <c r="J37" s="54" t="str">
        <f>IF((((SUM(I37))*0.6)/24)&lt;=M37,"TRUE","FALSE")</f>
        <v>TRUE</v>
      </c>
      <c r="K37" s="55">
        <v>180000</v>
      </c>
      <c r="L37" s="55">
        <f>K37*0.6</f>
        <v>108000</v>
      </c>
      <c r="M37" s="55">
        <f>L37/24</f>
        <v>4500</v>
      </c>
      <c r="N37" s="55">
        <f>K37*0.4</f>
        <v>72000</v>
      </c>
      <c r="O37" s="55">
        <f>N37/24</f>
        <v>3000</v>
      </c>
      <c r="P37" s="53">
        <v>4.5</v>
      </c>
      <c r="Q37" s="53">
        <v>3</v>
      </c>
    </row>
    <row r="38" spans="1:18" ht="21.75" customHeight="1" x14ac:dyDescent="0.25">
      <c r="A38" s="53" t="s">
        <v>79</v>
      </c>
      <c r="B38" s="53" t="s">
        <v>117</v>
      </c>
      <c r="C38" s="53" t="s">
        <v>177</v>
      </c>
      <c r="D38" s="53" t="s">
        <v>223</v>
      </c>
      <c r="E38" s="53">
        <v>320000</v>
      </c>
      <c r="F38" s="53">
        <v>75000</v>
      </c>
      <c r="G38" s="53">
        <v>185035</v>
      </c>
      <c r="H38" s="53">
        <v>134965</v>
      </c>
      <c r="I38" s="54" t="s">
        <v>243</v>
      </c>
      <c r="J38" s="54" t="s">
        <v>272</v>
      </c>
      <c r="K38" s="55">
        <v>0</v>
      </c>
      <c r="L38" s="55">
        <v>0</v>
      </c>
      <c r="M38" s="55">
        <v>0</v>
      </c>
      <c r="N38" s="55">
        <v>134965</v>
      </c>
      <c r="O38" s="55">
        <f>N38/24</f>
        <v>5623.541666666667</v>
      </c>
      <c r="P38" s="53">
        <v>0</v>
      </c>
      <c r="Q38" s="53">
        <v>5.6</v>
      </c>
    </row>
    <row r="39" spans="1:18" ht="21.75" customHeight="1" x14ac:dyDescent="0.25">
      <c r="A39" s="56" t="s">
        <v>84</v>
      </c>
      <c r="B39" s="56" t="s">
        <v>118</v>
      </c>
      <c r="C39" s="56" t="s">
        <v>139</v>
      </c>
      <c r="D39" s="56" t="s">
        <v>225</v>
      </c>
      <c r="E39" s="56">
        <v>6500000</v>
      </c>
      <c r="F39" s="56">
        <v>57273</v>
      </c>
      <c r="G39" s="56">
        <v>2681790</v>
      </c>
      <c r="H39" s="56">
        <v>3818210</v>
      </c>
      <c r="I39" s="57" t="s">
        <v>243</v>
      </c>
      <c r="J39" s="57" t="s">
        <v>272</v>
      </c>
      <c r="K39" s="58">
        <v>3818210</v>
      </c>
      <c r="L39" s="58">
        <v>3444000</v>
      </c>
      <c r="M39" s="58">
        <v>143500</v>
      </c>
      <c r="N39" s="58">
        <v>374210</v>
      </c>
      <c r="O39" s="58">
        <v>15592</v>
      </c>
      <c r="P39" s="56">
        <v>143.5</v>
      </c>
      <c r="Q39" s="56">
        <v>15.6</v>
      </c>
    </row>
    <row r="40" spans="1:18" ht="21.75" customHeight="1" x14ac:dyDescent="0.25">
      <c r="A40" s="59" t="s">
        <v>88</v>
      </c>
      <c r="B40" s="59" t="s">
        <v>120</v>
      </c>
      <c r="C40" s="59" t="s">
        <v>181</v>
      </c>
      <c r="D40" s="59" t="s">
        <v>229</v>
      </c>
      <c r="E40" s="59">
        <v>420000</v>
      </c>
      <c r="F40" s="59">
        <v>80000</v>
      </c>
      <c r="G40" s="59">
        <v>318990</v>
      </c>
      <c r="H40" s="59">
        <v>101010</v>
      </c>
      <c r="I40" s="60" t="s">
        <v>243</v>
      </c>
      <c r="J40" s="60" t="s">
        <v>272</v>
      </c>
      <c r="K40" s="61">
        <v>101010</v>
      </c>
      <c r="L40" s="61">
        <v>101010</v>
      </c>
      <c r="M40" s="61">
        <v>18000</v>
      </c>
      <c r="N40" s="61">
        <v>0</v>
      </c>
      <c r="O40" s="61">
        <v>0</v>
      </c>
      <c r="P40" s="59">
        <v>18</v>
      </c>
      <c r="Q40" s="59">
        <v>0</v>
      </c>
      <c r="R40" s="15" t="s">
        <v>269</v>
      </c>
    </row>
    <row r="41" spans="1:18" ht="21.75" customHeight="1" x14ac:dyDescent="0.25">
      <c r="A41" s="10" t="s">
        <v>89</v>
      </c>
      <c r="B41" s="10" t="s">
        <v>121</v>
      </c>
      <c r="C41" s="10" t="s">
        <v>133</v>
      </c>
      <c r="D41" s="10" t="s">
        <v>185</v>
      </c>
      <c r="E41" s="10">
        <v>200000</v>
      </c>
      <c r="F41" s="10">
        <v>100000</v>
      </c>
      <c r="G41" s="10">
        <v>0</v>
      </c>
      <c r="H41" s="10">
        <v>200000</v>
      </c>
      <c r="I41" s="20" t="s">
        <v>241</v>
      </c>
      <c r="J41" s="20" t="str">
        <f>IF((((SUM(H41))*0.6)/24)&lt;=M41,"TRUE","FALSE")</f>
        <v>TRUE</v>
      </c>
      <c r="K41" s="21">
        <v>200000</v>
      </c>
      <c r="L41" s="21">
        <f>K41*0.6</f>
        <v>120000</v>
      </c>
      <c r="M41" s="21">
        <f>L41/24</f>
        <v>5000</v>
      </c>
      <c r="N41" s="21">
        <f>K41*0.4</f>
        <v>80000</v>
      </c>
      <c r="O41" s="21">
        <f>N41/24</f>
        <v>3333.3333333333335</v>
      </c>
      <c r="P41" s="10">
        <v>5</v>
      </c>
      <c r="Q41" s="10">
        <v>3.4</v>
      </c>
    </row>
    <row r="42" spans="1:18" ht="21.75" customHeight="1" x14ac:dyDescent="0.25">
      <c r="A42" s="62" t="s">
        <v>90</v>
      </c>
      <c r="B42" s="62" t="s">
        <v>122</v>
      </c>
      <c r="C42" s="62" t="s">
        <v>133</v>
      </c>
      <c r="D42" s="62" t="s">
        <v>185</v>
      </c>
      <c r="E42" s="62">
        <v>600000</v>
      </c>
      <c r="F42" s="62">
        <v>100000</v>
      </c>
      <c r="G42" s="62">
        <v>0</v>
      </c>
      <c r="H42" s="62">
        <v>600000</v>
      </c>
      <c r="I42" s="63" t="s">
        <v>241</v>
      </c>
      <c r="J42" s="63" t="str">
        <f>IF((((SUM(H42))*0.6)/24)&lt;=M42,"TRUE","FALSE")</f>
        <v>TRUE</v>
      </c>
      <c r="K42" s="64">
        <v>600000</v>
      </c>
      <c r="L42" s="64">
        <f>K42*0.6</f>
        <v>360000</v>
      </c>
      <c r="M42" s="64">
        <f>L42/24</f>
        <v>15000</v>
      </c>
      <c r="N42" s="64">
        <f>K42*0.4</f>
        <v>240000</v>
      </c>
      <c r="O42" s="64">
        <f>N42/24</f>
        <v>10000</v>
      </c>
      <c r="P42" s="62">
        <v>15</v>
      </c>
      <c r="Q42" s="62">
        <v>10</v>
      </c>
    </row>
    <row r="43" spans="1:18" ht="21.75" customHeight="1" x14ac:dyDescent="0.25">
      <c r="A43" s="62" t="s">
        <v>91</v>
      </c>
      <c r="B43" s="62" t="s">
        <v>122</v>
      </c>
      <c r="C43" s="62" t="s">
        <v>148</v>
      </c>
      <c r="D43" s="62" t="s">
        <v>230</v>
      </c>
      <c r="E43" s="62">
        <v>400000</v>
      </c>
      <c r="F43" s="62">
        <v>75000</v>
      </c>
      <c r="G43" s="62">
        <v>290805</v>
      </c>
      <c r="H43" s="62">
        <v>109195</v>
      </c>
      <c r="I43" s="63" t="s">
        <v>243</v>
      </c>
      <c r="J43" s="63" t="s">
        <v>272</v>
      </c>
      <c r="K43" s="64">
        <v>0</v>
      </c>
      <c r="L43" s="64">
        <v>0</v>
      </c>
      <c r="M43" s="64">
        <v>0</v>
      </c>
      <c r="N43" s="64">
        <v>109195</v>
      </c>
      <c r="O43" s="64">
        <v>4550</v>
      </c>
      <c r="P43" s="62">
        <v>0</v>
      </c>
      <c r="Q43" s="62">
        <v>4.55</v>
      </c>
    </row>
    <row r="44" spans="1:18" ht="21.75" customHeight="1" x14ac:dyDescent="0.25">
      <c r="A44" s="65" t="s">
        <v>92</v>
      </c>
      <c r="B44" s="65" t="s">
        <v>256</v>
      </c>
      <c r="C44" s="65" t="s">
        <v>133</v>
      </c>
      <c r="D44" s="65" t="s">
        <v>185</v>
      </c>
      <c r="E44" s="65">
        <v>450000</v>
      </c>
      <c r="F44" s="65">
        <v>100000</v>
      </c>
      <c r="G44" s="65">
        <v>0</v>
      </c>
      <c r="H44" s="65">
        <v>450000</v>
      </c>
      <c r="I44" s="66" t="s">
        <v>241</v>
      </c>
      <c r="J44" s="66" t="str">
        <f>IF((((SUM(H44))*0.6)/24)&lt;=M44,"TRUE","FALSE")</f>
        <v>TRUE</v>
      </c>
      <c r="K44" s="67">
        <v>450000</v>
      </c>
      <c r="L44" s="67">
        <f>K44*0.6</f>
        <v>270000</v>
      </c>
      <c r="M44" s="67">
        <f>L44/24</f>
        <v>11250</v>
      </c>
      <c r="N44" s="67">
        <f>K44*0.4</f>
        <v>180000</v>
      </c>
      <c r="O44" s="67">
        <f>N44/24</f>
        <v>7500</v>
      </c>
      <c r="P44" s="65">
        <v>11.25</v>
      </c>
      <c r="Q44" s="65">
        <v>7.5</v>
      </c>
    </row>
    <row r="45" spans="1:18" ht="21.75" customHeight="1" x14ac:dyDescent="0.25">
      <c r="A45" s="65" t="s">
        <v>93</v>
      </c>
      <c r="B45" s="65" t="s">
        <v>256</v>
      </c>
      <c r="C45" s="65" t="s">
        <v>182</v>
      </c>
      <c r="D45" s="65" t="s">
        <v>220</v>
      </c>
      <c r="E45" s="65">
        <v>120000</v>
      </c>
      <c r="F45" s="65">
        <v>75000</v>
      </c>
      <c r="G45" s="65">
        <v>53370</v>
      </c>
      <c r="H45" s="65">
        <v>66630</v>
      </c>
      <c r="I45" s="66" t="s">
        <v>243</v>
      </c>
      <c r="J45" s="66" t="s">
        <v>272</v>
      </c>
      <c r="K45" s="67">
        <v>0</v>
      </c>
      <c r="L45" s="67">
        <v>0</v>
      </c>
      <c r="M45" s="67">
        <v>0</v>
      </c>
      <c r="N45" s="67">
        <v>66630</v>
      </c>
      <c r="O45" s="67">
        <v>2776</v>
      </c>
      <c r="P45" s="65">
        <v>0</v>
      </c>
      <c r="Q45" s="65">
        <v>2.8</v>
      </c>
    </row>
    <row r="46" spans="1:18" ht="21.75" customHeight="1" x14ac:dyDescent="0.25">
      <c r="A46" s="68" t="s">
        <v>96</v>
      </c>
      <c r="B46" s="68" t="s">
        <v>125</v>
      </c>
      <c r="C46" s="68" t="s">
        <v>133</v>
      </c>
      <c r="D46" s="68" t="s">
        <v>185</v>
      </c>
      <c r="E46" s="68">
        <v>300000</v>
      </c>
      <c r="F46" s="68">
        <v>100000</v>
      </c>
      <c r="G46" s="68">
        <v>0</v>
      </c>
      <c r="H46" s="68">
        <v>300000</v>
      </c>
      <c r="I46" s="69" t="s">
        <v>241</v>
      </c>
      <c r="J46" s="69" t="str">
        <f>IF((((SUM(H46))*0.6)/24)&lt;=M46,"TRUE","FALSE")</f>
        <v>TRUE</v>
      </c>
      <c r="K46" s="70">
        <v>300000</v>
      </c>
      <c r="L46" s="70">
        <f>K46*0.6</f>
        <v>180000</v>
      </c>
      <c r="M46" s="70">
        <f>L46/24</f>
        <v>7500</v>
      </c>
      <c r="N46" s="70">
        <f>K46*0.4</f>
        <v>120000</v>
      </c>
      <c r="O46" s="70">
        <f>N46/24</f>
        <v>5000</v>
      </c>
      <c r="P46" s="68">
        <v>7.5</v>
      </c>
      <c r="Q46" s="68">
        <v>5</v>
      </c>
    </row>
  </sheetData>
  <autoFilter ref="A1:Q46" xr:uid="{4F210D15-BA8C-460B-82A0-EB3859A28231}">
    <filterColumn colId="15" showButton="0"/>
  </autoFilter>
  <mergeCells count="68">
    <mergeCell ref="J32:J33"/>
    <mergeCell ref="J1:J2"/>
    <mergeCell ref="Q16:Q21"/>
    <mergeCell ref="Q23:Q24"/>
    <mergeCell ref="R29:R30"/>
    <mergeCell ref="J17:J19"/>
    <mergeCell ref="Q9:Q10"/>
    <mergeCell ref="K12:K13"/>
    <mergeCell ref="L12:L13"/>
    <mergeCell ref="M12:M13"/>
    <mergeCell ref="N12:N13"/>
    <mergeCell ref="O12:O13"/>
    <mergeCell ref="P12:P13"/>
    <mergeCell ref="Q12:Q13"/>
    <mergeCell ref="P29:P30"/>
    <mergeCell ref="Q29:Q30"/>
    <mergeCell ref="P31:P35"/>
    <mergeCell ref="Q31:Q35"/>
    <mergeCell ref="K29:K30"/>
    <mergeCell ref="L29:L30"/>
    <mergeCell ref="M29:M30"/>
    <mergeCell ref="N29:N30"/>
    <mergeCell ref="O29:O30"/>
    <mergeCell ref="K31:K35"/>
    <mergeCell ref="L31:L35"/>
    <mergeCell ref="M31:M35"/>
    <mergeCell ref="N31:N35"/>
    <mergeCell ref="O31:O35"/>
    <mergeCell ref="P16:P21"/>
    <mergeCell ref="K23:K24"/>
    <mergeCell ref="L23:L24"/>
    <mergeCell ref="M23:M24"/>
    <mergeCell ref="N23:N24"/>
    <mergeCell ref="O23:O24"/>
    <mergeCell ref="P23:P24"/>
    <mergeCell ref="K16:K21"/>
    <mergeCell ref="L16:L21"/>
    <mergeCell ref="M16:M21"/>
    <mergeCell ref="N16:N21"/>
    <mergeCell ref="O16:O21"/>
    <mergeCell ref="P9:P10"/>
    <mergeCell ref="K9:K10"/>
    <mergeCell ref="L9:L10"/>
    <mergeCell ref="M9:M10"/>
    <mergeCell ref="N9:N10"/>
    <mergeCell ref="O9:O10"/>
    <mergeCell ref="I1:I2"/>
    <mergeCell ref="H1:H2"/>
    <mergeCell ref="G1:G2"/>
    <mergeCell ref="A1:A2"/>
    <mergeCell ref="B1:B2"/>
    <mergeCell ref="C1:C2"/>
    <mergeCell ref="D1:D2"/>
    <mergeCell ref="E1:E2"/>
    <mergeCell ref="F1:F2"/>
    <mergeCell ref="P1:Q1"/>
    <mergeCell ref="Q3:Q6"/>
    <mergeCell ref="K3:K6"/>
    <mergeCell ref="L3:L6"/>
    <mergeCell ref="M3:M6"/>
    <mergeCell ref="N3:N6"/>
    <mergeCell ref="O3:O6"/>
    <mergeCell ref="P3:P6"/>
    <mergeCell ref="L1:L2"/>
    <mergeCell ref="M1:M2"/>
    <mergeCell ref="N1:N2"/>
    <mergeCell ref="O1:O2"/>
    <mergeCell ref="K1:K2"/>
  </mergeCells>
  <printOptions verticalCentered="1"/>
  <pageMargins left="0.2" right="0.2" top="0.25" bottom="0.25" header="0" footer="0"/>
  <pageSetup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S h o w H i d d e n " > < C u s t o m C o n t e n t > < ! [ C D A T A [ T r u e ] ] > < / C u s t o m C o n t e n t > < / G e m i n i > 
</file>

<file path=customXml/item11.xml>��< ? x m l   v e r s i o n = " 1 . 0 "   e n c o d i n g = " U T F - 1 6 " ? > < G e m i n i   x m l n s = " h t t p : / / g e m i n i / p i v o t c u s t o m i z a t i o n / P o w e r P i v o t V e r s i o n " > < C u s t o m C o n t e n t > < ! [ C D A T A [ 2 0 1 5 . 1 3 0 . 1 6 0 6 . 1 ] ] > < / 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 T a g s \ T a b l e s \ & l t ; T a b l e s \ b a r g i r i & g t ; < / K e y > < / D i a g r a m O b j e c t K e y > < D i a g r a m O b j e c t K e y > < K e y > D y n a m i c   T a g s \ T a b l e s \ & l t ; T a b l e s \ i n v o i c e & g t ; < / K e y > < / D i a g r a m O b j e c t K e y > < D i a g r a m O b j e c t K e y > < K e y > D y n a m i c   T a g s \ T a b l e s \ & l t ; T a b l e s \ T a b l e 1 & g t ; < / K e y > < / D i a g r a m O b j e c t K e y > < D i a g r a m O b j e c t K e y > < K e y > D y n a m i c   T a g s \ T a b l e s \ & l t ; T a b l e s \ i n v o i c e 2 & g t ; < / K e y > < / D i a g r a m O b j e c t K e y > < D i a g r a m O b j e c t K e y > < K e y > T a b l e s \ b a r g i r i < / K e y > < / D i a g r a m O b j e c t K e y > < D i a g r a m O b j e c t K e y > < K e y > T a b l e s \ b a r g i r i \ C o l u m n s \ *'1�.  ('1��1�< / K e y > < / D i a g r a m O b j e c t K e y > < D i a g r a m O b j e c t K e y > < K e y > T a b l e s \ b a r g i r i \ C o l u m n s \ F'E  E4*1�< / K e y > < / D i a g r a m O b j e c t K e y > < D i a g r a m O b j e c t K e y > < K e y > T a b l e s \ b a r g i r i \ C o l u m n s \ 4E'1G  ~�4  A'�*H1< / K e y > < / D i a g r a m O b j e c t K e y > < D i a g r a m O b j e c t K e y > < K e y > T a b l e s \ b a r g i r i \ C o l u m n s \ E�2'F  ('1��1�  4/G< / K e y > < / D i a g r a m O b j e c t K e y > < D i a g r a m O b j e c t K e y > < K e y > T a b l e s \ b a r g i r i \ C o l u m n s \ A�< / K e y > < / D i a g r a m O b j e c t K e y > < D i a g r a m O b j e c t K e y > < K e y > T a b l e s \ b a r g i r i \ C o l u m n s \ E'G< / K e y > < / D i a g r a m O b j e c t K e y > < D i a g r a m O b j e c t K e y > < K e y > T a b l e s \ b a r g i r i \ C o l u m n s \ 3'D< / K e y > < / D i a g r a m O b j e c t K e y > < D i a g r a m O b j e c t K e y > < K e y > T a b l e s \ b a r g i r i \ M e a s u r e s \ S u m   o f   E�2'F  ('1��1�  4/G< / K e y > < / D i a g r a m O b j e c t K e y > < D i a g r a m O b j e c t K e y > < K e y > T a b l e s \ b a r g i r i \ S u m   o f   E�2'F  ('1��1�  4/G\ A d d i t i o n a l   I n f o \ I m p l i c i t   M e a s u r e < / K e y > < / D i a g r a m O b j e c t K e y > < D i a g r a m O b j e c t K e y > < K e y > T a b l e s \ b a r g i r i \ M e a s u r e s \ S u m   o f   A�< / K e y > < / D i a g r a m O b j e c t K e y > < D i a g r a m O b j e c t K e y > < K e y > T a b l e s \ b a r g i r i \ S u m   o f   A�\ A d d i t i o n a l   I n f o \ I m p l i c i t   M e a s u r e < / K e y > < / D i a g r a m O b j e c t K e y > < D i a g r a m O b j e c t K e y > < K e y > T a b l e s \ b a r g i r i \ M e a s u r e s \ A v e r a g e   o f   A�  2 < / K e y > < / D i a g r a m O b j e c t K e y > < D i a g r a m O b j e c t K e y > < K e y > T a b l e s \ b a r g i r i \ A v e r a g e   o f   A�  2 \ A d d i t i o n a l   I n f o \ I m p l i c i t   M e a s u r e < / K e y > < / D i a g r a m O b j e c t K e y > < D i a g r a m O b j e c t K e y > < K e y > T a b l e s \ b a r g i r i \ M e a s u r e s \ C o u n t   o f   4E'1G  ~�4  A'�*H1< / K e y > < / D i a g r a m O b j e c t K e y > < D i a g r a m O b j e c t K e y > < K e y > T a b l e s \ b a r g i r i \ C o u n t   o f   4E'1G  ~�4  A'�*H1\ A d d i t i o n a l   I n f o \ I m p l i c i t   M e a s u r e < / K e y > < / D i a g r a m O b j e c t K e y > < D i a g r a m O b j e c t K e y > < K e y > T a b l e s \ b a r g i r i \ M e a s u r e s \ D i s t i n c t   C o u n t   o f   4E'1G  ~�4  A'�*H1< / K e y > < / D i a g r a m O b j e c t K e y > < D i a g r a m O b j e c t K e y > < K e y > T a b l e s \ b a r g i r i \ D i s t i n c t   C o u n t   o f   4E'1G  ~�4  A'�*H1\ A d d i t i o n a l   I n f o \ I m p l i c i t   M e a s u r e < / K e y > < / D i a g r a m O b j e c t K e y > < D i a g r a m O b j e c t K e y > < K e y > T a b l e s \ b a r g i r i \ M e a s u r e s \ C o u n t   o f   *'1�.  ('1��1�< / K e y > < / D i a g r a m O b j e c t K e y > < D i a g r a m O b j e c t K e y > < K e y > T a b l e s \ b a r g i r i \ C o u n t   o f   *'1�.  ('1��1�\ A d d i t i o n a l   I n f o \ I m p l i c i t   M e a s u r e < / K e y > < / D i a g r a m O b j e c t K e y > < D i a g r a m O b j e c t K e y > < K e y > T a b l e s \ b a r g i r i \ M e a s u r e s \ C o u n t   o f   F'E  E4*1�< / K e y > < / D i a g r a m O b j e c t K e y > < D i a g r a m O b j e c t K e y > < K e y > T a b l e s \ b a r g i r i \ C o u n t   o f   F'E  E4*1�\ A d d i t i o n a l   I n f o \ I m p l i c i t   M e a s u r e < / K e y > < / D i a g r a m O b j e c t K e y > < D i a g r a m O b j e c t K e y > < K e y > T a b l e s \ b a r g i r i \ M e a s u r e s \ D i s t i n c t   C o u n t   o f   F'E  E4*1�< / K e y > < / D i a g r a m O b j e c t K e y > < D i a g r a m O b j e c t K e y > < K e y > T a b l e s \ b a r g i r i \ D i s t i n c t   C o u n t   o f   F'E  E4*1�\ A d d i t i o n a l   I n f o \ I m p l i c i t   M e a s u r e < / K e y > < / D i a g r a m O b j e c t K e y > < D i a g r a m O b j e c t K e y > < K e y > T a b l e s \ b a r g i r i \ M e a s u r e s \ D i s t i n c t   C o u n t   o f   *'1�.  ('1��1�< / K e y > < / D i a g r a m O b j e c t K e y > < D i a g r a m O b j e c t K e y > < K e y > T a b l e s \ b a r g i r i \ D i s t i n c t   C o u n t   o f   *'1�.  ('1��1�\ A d d i t i o n a l   I n f o \ I m p l i c i t   M e a s u r e < / K e y > < / D i a g r a m O b j e c t K e y > < D i a g r a m O b j e c t K e y > < K e y > T a b l e s \ b a r g i r i \ M e a s u r e s \ A v e r a g e   o f   E�2'F  ('1��1�  4/G< / K e y > < / D i a g r a m O b j e c t K e y > < D i a g r a m O b j e c t K e y > < K e y > T a b l e s \ b a r g i r i \ A v e r a g e   o f   E�2'F  ('1��1�  4/G\ A d d i t i o n a l   I n f o \ I m p l i c i t   M e a s u r e < / K e y > < / D i a g r a m O b j e c t K e y > < D i a g r a m O b j e c t K e y > < K e y > T a b l e s \ b a r g i r i \ M e a s u r e s \ S t d D e v   o f   E�2'F  ('1��1�  4/G< / K e y > < / D i a g r a m O b j e c t K e y > < D i a g r a m O b j e c t K e y > < K e y > T a b l e s \ b a r g i r i \ S t d D e v   o f   E�2'F  ('1��1�  4/G\ A d d i t i o n a l   I n f o \ I m p l i c i t   M e a s u r e < / K e y > < / D i a g r a m O b j e c t K e y > < D i a g r a m O b j e c t K e y > < K e y > T a b l e s \ i n v o i c e < / K e y > < / D i a g r a m O b j e c t K e y > < D i a g r a m O b j e c t K e y > < K e y > T a b l e s \ i n v o i c e \ C o l u m n s \ 4E'1G  ~�4  A'�*H1< / K e y > < / D i a g r a m O b j e c t K e y > < D i a g r a m O b j e c t K e y > < K e y > T a b l e s \ i n v o i c e \ C o l u m n s \ F'E  E4*1�< / K e y > < / D i a g r a m O b j e c t K e y > < D i a g r a m O b j e c t K e y > < K e y > T a b l e s \ i n v o i c e \ C o l u m n s \ *'1�.< / K e y > < / D i a g r a m O b j e c t K e y > < D i a g r a m O b j e c t K e y > < K e y > T a b l e s \ i n v o i c e \ C o l u m n s \ *'1�.  E,H2  (G1G  (1/'1�< / K e y > < / D i a g r a m O b j e c t K e y > < D i a g r a m O b j e c t K e y > < K e y > T a b l e s \ i n v o i c e \ C o l u m n s \ E�2'F  3A'14< / K e y > < / D i a g r a m O b j e c t K e y > < D i a g r a m O b j e c t K e y > < K e y > T a b l e s \ i n v o i c e \ C o l u m n s \ A�< / K e y > < / D i a g r a m O b j e c t K e y > < D i a g r a m O b j e c t K e y > < K e y > T a b l e s \ i n v o i c e \ C o l u m n s \ E'G< / K e y > < / D i a g r a m O b j e c t K e y > < D i a g r a m O b j e c t K e y > < K e y > T a b l e s \ i n v o i c e \ C o l u m n s \ 3'D< / K e y > < / D i a g r a m O b j e c t K e y > < D i a g r a m O b j e c t K e y > < K e y > T a b l e s \ i n v o i c e \ M e a s u r e s \ S u m   o f   E�2'F  3A'14< / K e y > < / D i a g r a m O b j e c t K e y > < D i a g r a m O b j e c t K e y > < K e y > T a b l e s \ i n v o i c e \ S u m   o f   E�2'F  3A'14\ A d d i t i o n a l   I n f o \ I m p l i c i t   M e a s u r e < / K e y > < / D i a g r a m O b j e c t K e y > < D i a g r a m O b j e c t K e y > < K e y > T a b l e s \ i n v o i c e \ M e a s u r e s \ M a x   o f   E�2'F  3A'14< / K e y > < / D i a g r a m O b j e c t K e y > < D i a g r a m O b j e c t K e y > < K e y > T a b l e s \ i n v o i c e \ M a x   o f   E�2'F  3A'14\ A d d i t i o n a l   I n f o \ I m p l i c i t   M e a s u r e < / K e y > < / D i a g r a m O b j e c t K e y > < D i a g r a m O b j e c t K e y > < K e y > T a b l e s \ i n v o i c e \ M e a s u r e s \ S u m   o f   A�  2 < / K e y > < / D i a g r a m O b j e c t K e y > < D i a g r a m O b j e c t K e y > < K e y > T a b l e s \ i n v o i c e \ S u m   o f   A�  2 \ A d d i t i o n a l   I n f o \ I m p l i c i t   M e a s u r e < / K e y > < / D i a g r a m O b j e c t K e y > < D i a g r a m O b j e c t K e y > < K e y > T a b l e s \ i n v o i c e \ M e a s u r e s \ A v e r a g e   o f   A�< / K e y > < / D i a g r a m O b j e c t K e y > < D i a g r a m O b j e c t K e y > < K e y > T a b l e s \ i n v o i c e \ A v e r a g e   o f   A�\ A d d i t i o n a l   I n f o \ I m p l i c i t   M e a s u r e < / K e y > < / D i a g r a m O b j e c t K e y > < D i a g r a m O b j e c t K e y > < K e y > T a b l e s \ i n v o i c e \ M e a s u r e s \ C o u n t   o f   *'1�.< / K e y > < / D i a g r a m O b j e c t K e y > < D i a g r a m O b j e c t K e y > < K e y > T a b l e s \ i n v o i c e \ C o u n t   o f   *'1�.\ A d d i t i o n a l   I n f o \ I m p l i c i t   M e a s u r e < / K e y > < / D i a g r a m O b j e c t K e y > < D i a g r a m O b j e c t K e y > < K e y > T a b l e s \ i n v o i c e \ M e a s u r e s \ C o u n t   o f   4E'1G  ~�4  A'�*H1  2 < / K e y > < / D i a g r a m O b j e c t K e y > < D i a g r a m O b j e c t K e y > < K e y > T a b l e s \ i n v o i c e \ C o u n t   o f   4E'1G  ~�4  A'�*H1  2 \ A d d i t i o n a l   I n f o \ I m p l i c i t   M e a s u r e < / K e y > < / D i a g r a m O b j e c t K e y > < D i a g r a m O b j e c t K e y > < K e y > T a b l e s \ i n v o i c e \ M e a s u r e s \ A v e r a g e   o f   E�2'F  3A'14< / K e y > < / D i a g r a m O b j e c t K e y > < D i a g r a m O b j e c t K e y > < K e y > T a b l e s \ i n v o i c e \ A v e r a g e   o f   E�2'F  3A'14\ A d d i t i o n a l   I n f o \ I m p l i c i t   M e a s u r e < / K e y > < / D i a g r a m O b j e c t K e y > < D i a g r a m O b j e c t K e y > < K e y > T a b l e s \ i n v o i c e \ M e a s u r e s \ S t d D e v   o f   E�2'F  3A'14< / K e y > < / D i a g r a m O b j e c t K e y > < D i a g r a m O b j e c t K e y > < K e y > T a b l e s \ i n v o i c e \ S t d D e v   o f   E�2'F  3A'14\ A d d i t i o n a l   I n f o \ I m p l i c i t   M e a s u r e < / K e y > < / D i a g r a m O b j e c t K e y > < D i a g r a m O b j e c t K e y > < K e y > T a b l e s \ i n v o i c e \ M e a s u r e s \ S t d D e v p   o f   E�2'F  3A'14< / K e y > < / D i a g r a m O b j e c t K e y > < D i a g r a m O b j e c t K e y > < K e y > T a b l e s \ i n v o i c e \ S t d D e v p   o f   E�2'F  3A'14\ A d d i t i o n a l   I n f o \ I m p l i c i t   M e a s u r e < / K e y > < / D i a g r a m O b j e c t K e y > < D i a g r a m O b j e c t K e y > < K e y > T a b l e s \ i n v o i c e \ M e a s u r e s \ V a r   o f   E�2'F  3A'14< / K e y > < / D i a g r a m O b j e c t K e y > < D i a g r a m O b j e c t K e y > < K e y > T a b l e s \ i n v o i c e \ V a r   o f   E�2'F  3A'14\ A d d i t i o n a l   I n f o \ I m p l i c i t   M e a s u r e < / K e y > < / D i a g r a m O b j e c t K e y > < D i a g r a m O b j e c t K e y > < K e y > T a b l e s \ T a b l e 1 < / K e y > < / D i a g r a m O b j e c t K e y > < D i a g r a m O b j e c t K e y > < K e y > T a b l e s \ T a b l e 1 \ C o l u m n s \ R o w   L a b e l s < / K e y > < / D i a g r a m O b j e c t K e y > < D i a g r a m O b j e c t K e y > < K e y > T a b l e s \ T a b l e 1 \ C o l u m n s \ S u m   o f   A�  2 < / K e y > < / D i a g r a m O b j e c t K e y > < D i a g r a m O b j e c t K e y > < K e y > T a b l e s \ T a b l e 1 \ C o l u m n s \ S u m   o f   E�2'F  ('1��1�  4/G< / K e y > < / D i a g r a m O b j e c t K e y > < D i a g r a m O b j e c t K e y > < K e y > T a b l e s \ T a b l e 1 \ C o l u m n s \ E'F/G< / K e y > < / D i a g r a m O b j e c t K e y > < D i a g r a m O b j e c t K e y > < K e y > T a b l e s \ i n v o i c e 2 < / K e y > < / D i a g r a m O b j e c t K e y > < D i a g r a m O b j e c t K e y > < K e y > T a b l e s \ i n v o i c e 2 \ C o l u m n s \ 4E'1G  ~�4  A'�*H1< / K e y > < / D i a g r a m O b j e c t K e y > < D i a g r a m O b j e c t K e y > < K e y > T a b l e s \ i n v o i c e 2 \ C o l u m n s \ F'E  E4*1�< / K e y > < / D i a g r a m O b j e c t K e y > < D i a g r a m O b j e c t K e y > < K e y > T a b l e s \ i n v o i c e 2 \ C o l u m n s \ *'1�.< / K e y > < / D i a g r a m O b j e c t K e y > < D i a g r a m O b j e c t K e y > < K e y > T a b l e s \ i n v o i c e 2 \ C o l u m n s \ *'1�.  E,H2  (G1G  (1/'1�< / K e y > < / D i a g r a m O b j e c t K e y > < D i a g r a m O b j e c t K e y > < K e y > T a b l e s \ i n v o i c e 2 \ C o l u m n s \ E�2'F  3A'14< / K e y > < / D i a g r a m O b j e c t K e y > < D i a g r a m O b j e c t K e y > < K e y > T a b l e s \ i n v o i c e 2 \ C o l u m n s \ A�< / K e y > < / D i a g r a m O b j e c t K e y > < D i a g r a m O b j e c t K e y > < K e y > T a b l e s \ i n v o i c e 2 \ C o l u m n s \ -ED  4/G< / K e y > < / D i a g r a m O b j e c t K e y > < D i a g r a m O b j e c t K e y > < K e y > T a b l e s \ i n v o i c e 2 \ C o l u m n s \ E'F/G< / K e y > < / D i a g r a m O b j e c t K e y > < D i a g r a m O b j e c t K e y > < K e y > T a b l e s \ i n v o i c e 2 \ C o l u m n s \ FH9< / K e y > < / D i a g r a m O b j e c t K e y > < D i a g r a m O b j e c t K e y > < K e y > T a b l e s \ i n v o i c e 2 \ C o l u m n s \ 44  E'GG  'HD< / K e y > < / D i a g r a m O b j e c t K e y > < D i a g r a m O b j e c t K e y > < K e y > T a b l e s \ i n v o i c e 2 \ C o l u m n s \ *H2�9  GA*��< / K e y > < / D i a g r a m O b j e c t K e y > < D i a g r a m O b j e c t K e y > < K e y > T a b l e s \ i n v o i c e 2 \ C o l u m n s \ 44  E'GG  /HE< / K e y > < / D i a g r a m O b j e c t K e y > < D i a g r a m O b j e c t K e y > < K e y > T a b l e s \ i n v o i c e 2 \ C o l u m n s \ *H2�9  GA*��2 < / K e y > < / D i a g r a m O b j e c t K e y > < D i a g r a m O b j e c t K e y > < K e y > T a b l e s \ i n v o i c e 2 \ C o l u m n s \ *H6�-'*< / K e y > < / D i a g r a m O b j e c t K e y > < D i a g r a m O b j e c t K e y > < K e y > T a b l e s \ i n v o i c e 2 \ M e a s u r e s \ S u m   o f   E�2'F  3A'14  2 < / K e y > < / D i a g r a m O b j e c t K e y > < D i a g r a m O b j e c t K e y > < K e y > T a b l e s \ i n v o i c e 2 \ S u m   o f   E�2'F  3A'14  2 \ A d d i t i o n a l   I n f o \ I m p l i c i t   M e a s u r e < / K e y > < / D i a g r a m O b j e c t K e y > < D i a g r a m O b j e c t K e y > < K e y > T a b l e s \ i n v o i c e 2 \ M e a s u r e s \ C o u n t   o f   4E'1G  ~�4  A'�*H1  3 < / K e y > < / D i a g r a m O b j e c t K e y > < D i a g r a m O b j e c t K e y > < K e y > T a b l e s \ i n v o i c e 2 \ C o u n t   o f   4E'1G  ~�4  A'�*H1  3 \ A d d i t i o n a l   I n f o \ I m p l i c i t   M e a s u r e < / K e y > < / D i a g r a m O b j e c t K e y > < D i a g r a m O b j e c t K e y > < K e y > R e l a t i o n s h i p s \ & l t ; T a b l e s \ i n v o i c e \ C o l u m n s \ 4E'1G  ~�4  A'�*H1& g t ; - & l t ; T a b l e s \ i n v o i c e 2 \ C o l u m n s \ 4E'1G  ~�4  A'�*H1& g t ; < / K e y > < / D i a g r a m O b j e c t K e y > < D i a g r a m O b j e c t K e y > < K e y > R e l a t i o n s h i p s \ & l t ; T a b l e s \ i n v o i c e \ C o l u m n s \ 4E'1G  ~�4  A'�*H1& g t ; - & l t ; T a b l e s \ i n v o i c e 2 \ C o l u m n s \ 4E'1G  ~�4  A'�*H1& g t ; \ F K < / K e y > < / D i a g r a m O b j e c t K e y > < D i a g r a m O b j e c t K e y > < K e y > R e l a t i o n s h i p s \ & l t ; T a b l e s \ i n v o i c e \ C o l u m n s \ 4E'1G  ~�4  A'�*H1& g t ; - & l t ; T a b l e s \ i n v o i c e 2 \ C o l u m n s \ 4E'1G  ~�4  A'�*H1& g t ; \ P K < / K e y > < / D i a g r a m O b j e c t K e y > < D i a g r a m O b j e c t K e y > < K e y > R e l a t i o n s h i p s \ & l t ; T a b l e s \ i n v o i c e \ C o l u m n s \ 4E'1G  ~�4  A'�*H1& g t ; - & l t ; T a b l e s \ i n v o i c e 2 \ C o l u m n s \ 4E'1G  ~�4  A'�*H1& g t ; \ C r o s s F i l t e r < / K e y > < / D i a g r a m O b j e c t K e y > < D i a g r a m O b j e c t K e y > < K e y > R e l a t i o n s h i p s \ & l t ; T a b l e s \ b a r g i r i \ C o l u m n s \ 4E'1G  ~�4  A'�*H1& g t ; - & l t ; T a b l e s \ i n v o i c e \ C o l u m n s \ 4E'1G  ~�4  A'�*H1& g t ; < / K e y > < / D i a g r a m O b j e c t K e y > < D i a g r a m O b j e c t K e y > < K e y > R e l a t i o n s h i p s \ & l t ; T a b l e s \ b a r g i r i \ C o l u m n s \ 4E'1G  ~�4  A'�*H1& g t ; - & l t ; T a b l e s \ i n v o i c e \ C o l u m n s \ 4E'1G  ~�4  A'�*H1& g t ; \ F K < / K e y > < / D i a g r a m O b j e c t K e y > < D i a g r a m O b j e c t K e y > < K e y > R e l a t i o n s h i p s \ & l t ; T a b l e s \ b a r g i r i \ C o l u m n s \ 4E'1G  ~�4  A'�*H1& g t ; - & l t ; T a b l e s \ i n v o i c e \ C o l u m n s \ 4E'1G  ~�4  A'�*H1& g t ; \ P K < / K e y > < / D i a g r a m O b j e c t K e y > < D i a g r a m O b j e c t K e y > < K e y > R e l a t i o n s h i p s \ & l t ; T a b l e s \ b a r g i r i \ C o l u m n s \ 4E'1G  ~�4  A'�*H1& g t ; - & l t ; T a b l e s \ i n v o i c e \ C o l u m n s \ 4E'1G  ~�4  A'�*H1& g t ; \ C r o s s F i l t e r < / K e y > < / D i a g r a m O b j e c t K e y > < / A l l K e y s > < S e l e c t e d K e y s > < D i a g r a m O b j e c t K e y > < K e y > T a b l e s \ b a r g i r i < / 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 T a g s \ T a b l e s \ & l t ; T a b l e s \ b a r g i r i & g t ; < / K e y > < / a : K e y > < a : V a l u e   i : t y p e = " D i a g r a m D i s p l a y T a g V i e w S t a t e " > < I s N o t F i l t e r e d O u t > t r u e < / I s N o t F i l t e r e d O u t > < / a : V a l u e > < / a : K e y V a l u e O f D i a g r a m O b j e c t K e y a n y T y p e z b w N T n L X > < a : K e y V a l u e O f D i a g r a m O b j e c t K e y a n y T y p e z b w N T n L X > < a : K e y > < K e y > D y n a m i c   T a g s \ T a b l e s \ & l t ; T a b l e s \ i n v o i c e & g t ; < / K e y > < / a : K e y > < a : V a l u e   i : t y p e = " D i a g r a m D i s p l a y T a g V i e w S t a t e " > < I s N o t F i l t e r e d O u t > t r u e < / I s N o t F i l t e r e d O u t > < / a : V a l u e > < / a : K e y V a l u e O f D i a g r a m O b j e c t K e y a n y T y p e z b w N T n L X > < a : K e y V a l u e O f D i a g r a m O b j e c t K e y a n y T y p e z b w N T n L X > < a : K e y > < K e y > D y n a m i c   T a g s \ T a b l e s \ & l t ; T a b l e s \ T a b l e 1 & g t ; < / K e y > < / a : K e y > < a : V a l u e   i : t y p e = " D i a g r a m D i s p l a y T a g V i e w S t a t e " > < I s N o t F i l t e r e d O u t > t r u e < / I s N o t F i l t e r e d O u t > < / a : V a l u e > < / a : K e y V a l u e O f D i a g r a m O b j e c t K e y a n y T y p e z b w N T n L X > < a : K e y V a l u e O f D i a g r a m O b j e c t K e y a n y T y p e z b w N T n L X > < a : K e y > < K e y > D y n a m i c   T a g s \ T a b l e s \ & l t ; T a b l e s \ i n v o i c e 2 & g t ; < / K e y > < / a : K e y > < a : V a l u e   i : t y p e = " D i a g r a m D i s p l a y T a g V i e w S t a t e " > < I s N o t F i l t e r e d O u t > t r u e < / I s N o t F i l t e r e d O u t > < / a : V a l u e > < / a : K e y V a l u e O f D i a g r a m O b j e c t K e y a n y T y p e z b w N T n L X > < a : K e y V a l u e O f D i a g r a m O b j e c t K e y a n y T y p e z b w N T n L X > < a : K e y > < K e y > T a b l e s \ b a r g i r i < / K e y > < / a : K e y > < a : V a l u e   i : t y p e = " D i a g r a m D i s p l a y N o d e V i e w S t a t e " > < H e i g h t > 1 5 0 < / H e i g h t > < I s E x p a n d e d > t r u e < / I s E x p a n d e d > < I s F o c u s e d > t r u e < / I s F o c u s e d > < L a y e d O u t > t r u e < / L a y e d O u t > < W i d t h > 2 0 0 < / W i d t h > < / a : V a l u e > < / a : K e y V a l u e O f D i a g r a m O b j e c t K e y a n y T y p e z b w N T n L X > < a : K e y V a l u e O f D i a g r a m O b j e c t K e y a n y T y p e z b w N T n L X > < a : K e y > < K e y > T a b l e s \ b a r g i r i \ C o l u m n s \ *'1�.  ('1��1�< / K e y > < / a : K e y > < a : V a l u e   i : t y p e = " D i a g r a m D i s p l a y N o d e V i e w S t a t e " > < H e i g h t > 1 5 0 < / H e i g h t > < I s E x p a n d e d > t r u e < / I s E x p a n d e d > < W i d t h > 2 0 0 < / W i d t h > < / a : V a l u e > < / a : K e y V a l u e O f D i a g r a m O b j e c t K e y a n y T y p e z b w N T n L X > < a : K e y V a l u e O f D i a g r a m O b j e c t K e y a n y T y p e z b w N T n L X > < a : K e y > < K e y > T a b l e s \ b a r g i r i \ C o l u m n s \ F'E  E4*1�< / K e y > < / a : K e y > < a : V a l u e   i : t y p e = " D i a g r a m D i s p l a y N o d e V i e w S t a t e " > < H e i g h t > 1 5 0 < / H e i g h t > < I s E x p a n d e d > t r u e < / I s E x p a n d e d > < W i d t h > 2 0 0 < / W i d t h > < / a : V a l u e > < / a : K e y V a l u e O f D i a g r a m O b j e c t K e y a n y T y p e z b w N T n L X > < a : K e y V a l u e O f D i a g r a m O b j e c t K e y a n y T y p e z b w N T n L X > < a : K e y > < K e y > T a b l e s \ b a r g i r i \ C o l u m n s \ 4E'1G  ~�4  A'�*H1< / K e y > < / a : K e y > < a : V a l u e   i : t y p e = " D i a g r a m D i s p l a y N o d e V i e w S t a t e " > < H e i g h t > 1 5 0 < / H e i g h t > < I s E x p a n d e d > t r u e < / I s E x p a n d e d > < W i d t h > 2 0 0 < / W i d t h > < / a : V a l u e > < / a : K e y V a l u e O f D i a g r a m O b j e c t K e y a n y T y p e z b w N T n L X > < a : K e y V a l u e O f D i a g r a m O b j e c t K e y a n y T y p e z b w N T n L X > < a : K e y > < K e y > T a b l e s \ b a r g i r i \ C o l u m n s \ E�2'F  ('1��1�  4/G< / K e y > < / a : K e y > < a : V a l u e   i : t y p e = " D i a g r a m D i s p l a y N o d e V i e w S t a t e " > < H e i g h t > 1 5 0 < / H e i g h t > < I s E x p a n d e d > t r u e < / I s E x p a n d e d > < W i d t h > 2 0 0 < / W i d t h > < / a : V a l u e > < / a : K e y V a l u e O f D i a g r a m O b j e c t K e y a n y T y p e z b w N T n L X > < a : K e y V a l u e O f D i a g r a m O b j e c t K e y a n y T y p e z b w N T n L X > < a : K e y > < K e y > T a b l e s \ b a r g i r i \ C o l u m n s \ A�< / K e y > < / a : K e y > < a : V a l u e   i : t y p e = " D i a g r a m D i s p l a y N o d e V i e w S t a t e " > < H e i g h t > 1 5 0 < / H e i g h t > < I s E x p a n d e d > t r u e < / I s E x p a n d e d > < W i d t h > 2 0 0 < / W i d t h > < / a : V a l u e > < / a : K e y V a l u e O f D i a g r a m O b j e c t K e y a n y T y p e z b w N T n L X > < a : K e y V a l u e O f D i a g r a m O b j e c t K e y a n y T y p e z b w N T n L X > < a : K e y > < K e y > T a b l e s \ b a r g i r i \ C o l u m n s \ E'G< / K e y > < / a : K e y > < a : V a l u e   i : t y p e = " D i a g r a m D i s p l a y N o d e V i e w S t a t e " > < H e i g h t > 1 5 0 < / H e i g h t > < I s E x p a n d e d > t r u e < / I s E x p a n d e d > < W i d t h > 2 0 0 < / W i d t h > < / a : V a l u e > < / a : K e y V a l u e O f D i a g r a m O b j e c t K e y a n y T y p e z b w N T n L X > < a : K e y V a l u e O f D i a g r a m O b j e c t K e y a n y T y p e z b w N T n L X > < a : K e y > < K e y > T a b l e s \ b a r g i r i \ C o l u m n s \ 3'D< / K e y > < / a : K e y > < a : V a l u e   i : t y p e = " D i a g r a m D i s p l a y N o d e V i e w S t a t e " > < H e i g h t > 1 5 0 < / H e i g h t > < I s E x p a n d e d > t r u e < / I s E x p a n d e d > < W i d t h > 2 0 0 < / W i d t h > < / a : V a l u e > < / a : K e y V a l u e O f D i a g r a m O b j e c t K e y a n y T y p e z b w N T n L X > < a : K e y V a l u e O f D i a g r a m O b j e c t K e y a n y T y p e z b w N T n L X > < a : K e y > < K e y > T a b l e s \ b a r g i r i \ M e a s u r e s \ S u m   o f   E�2'F  ('1��1�  4/G< / K e y > < / a : K e y > < a : V a l u e   i : t y p e = " D i a g r a m D i s p l a y N o d e V i e w S t a t e " > < H e i g h t > 1 5 0 < / H e i g h t > < I s E x p a n d e d > t r u e < / I s E x p a n d e d > < W i d t h > 2 0 0 < / W i d t h > < / a : V a l u e > < / a : K e y V a l u e O f D i a g r a m O b j e c t K e y a n y T y p e z b w N T n L X > < a : K e y V a l u e O f D i a g r a m O b j e c t K e y a n y T y p e z b w N T n L X > < a : K e y > < K e y > T a b l e s \ b a r g i r i \ S u m   o f   E�2'F  ('1��1�  4/G\ A d d i t i o n a l   I n f o \ I m p l i c i t   M e a s u r e < / K e y > < / a : K e y > < a : V a l u e   i : t y p e = " D i a g r a m D i s p l a y V i e w S t a t e I D i a g r a m T a g A d d i t i o n a l I n f o " / > < / a : K e y V a l u e O f D i a g r a m O b j e c t K e y a n y T y p e z b w N T n L X > < a : K e y V a l u e O f D i a g r a m O b j e c t K e y a n y T y p e z b w N T n L X > < a : K e y > < K e y > T a b l e s \ b a r g i r i \ M e a s u r e s \ S u m   o f   A�< / K e y > < / a : K e y > < a : V a l u e   i : t y p e = " D i a g r a m D i s p l a y N o d e V i e w S t a t e " > < H e i g h t > 1 5 0 < / H e i g h t > < I s E x p a n d e d > t r u e < / I s E x p a n d e d > < W i d t h > 2 0 0 < / W i d t h > < / a : V a l u e > < / a : K e y V a l u e O f D i a g r a m O b j e c t K e y a n y T y p e z b w N T n L X > < a : K e y V a l u e O f D i a g r a m O b j e c t K e y a n y T y p e z b w N T n L X > < a : K e y > < K e y > T a b l e s \ b a r g i r i \ S u m   o f   A�\ A d d i t i o n a l   I n f o \ I m p l i c i t   M e a s u r e < / K e y > < / a : K e y > < a : V a l u e   i : t y p e = " D i a g r a m D i s p l a y V i e w S t a t e I D i a g r a m T a g A d d i t i o n a l I n f o " / > < / a : K e y V a l u e O f D i a g r a m O b j e c t K e y a n y T y p e z b w N T n L X > < a : K e y V a l u e O f D i a g r a m O b j e c t K e y a n y T y p e z b w N T n L X > < a : K e y > < K e y > T a b l e s \ b a r g i r i \ M e a s u r e s \ A v e r a g e   o f   A�  2 < / K e y > < / a : K e y > < a : V a l u e   i : t y p e = " D i a g r a m D i s p l a y N o d e V i e w S t a t e " > < H e i g h t > 1 5 0 < / H e i g h t > < I s E x p a n d e d > t r u e < / I s E x p a n d e d > < W i d t h > 2 0 0 < / W i d t h > < / a : V a l u e > < / a : K e y V a l u e O f D i a g r a m O b j e c t K e y a n y T y p e z b w N T n L X > < a : K e y V a l u e O f D i a g r a m O b j e c t K e y a n y T y p e z b w N T n L X > < a : K e y > < K e y > T a b l e s \ b a r g i r i \ A v e r a g e   o f   A�  2 \ A d d i t i o n a l   I n f o \ I m p l i c i t   M e a s u r e < / K e y > < / a : K e y > < a : V a l u e   i : t y p e = " D i a g r a m D i s p l a y V i e w S t a t e I D i a g r a m T a g A d d i t i o n a l I n f o " / > < / a : K e y V a l u e O f D i a g r a m O b j e c t K e y a n y T y p e z b w N T n L X > < a : K e y V a l u e O f D i a g r a m O b j e c t K e y a n y T y p e z b w N T n L X > < a : K e y > < K e y > T a b l e s \ b a r g i r i \ M e a s u r e s \ C o u n t   o f   4E'1G  ~�4  A'�*H1< / K e y > < / a : K e y > < a : V a l u e   i : t y p e = " D i a g r a m D i s p l a y N o d e V i e w S t a t e " > < H e i g h t > 1 5 0 < / H e i g h t > < I s E x p a n d e d > t r u e < / I s E x p a n d e d > < W i d t h > 2 0 0 < / W i d t h > < / a : V a l u e > < / a : K e y V a l u e O f D i a g r a m O b j e c t K e y a n y T y p e z b w N T n L X > < a : K e y V a l u e O f D i a g r a m O b j e c t K e y a n y T y p e z b w N T n L X > < a : K e y > < K e y > T a b l e s \ b a r g i r i \ C o u n t   o f   4E'1G  ~�4  A'�*H1\ A d d i t i o n a l   I n f o \ I m p l i c i t   M e a s u r e < / K e y > < / a : K e y > < a : V a l u e   i : t y p e = " D i a g r a m D i s p l a y V i e w S t a t e I D i a g r a m T a g A d d i t i o n a l I n f o " / > < / a : K e y V a l u e O f D i a g r a m O b j e c t K e y a n y T y p e z b w N T n L X > < a : K e y V a l u e O f D i a g r a m O b j e c t K e y a n y T y p e z b w N T n L X > < a : K e y > < K e y > T a b l e s \ b a r g i r i \ M e a s u r e s \ D i s t i n c t   C o u n t   o f   4E'1G  ~�4  A'�*H1< / K e y > < / a : K e y > < a : V a l u e   i : t y p e = " D i a g r a m D i s p l a y N o d e V i e w S t a t e " > < H e i g h t > 1 5 0 < / H e i g h t > < I s E x p a n d e d > t r u e < / I s E x p a n d e d > < W i d t h > 2 0 0 < / W i d t h > < / a : V a l u e > < / a : K e y V a l u e O f D i a g r a m O b j e c t K e y a n y T y p e z b w N T n L X > < a : K e y V a l u e O f D i a g r a m O b j e c t K e y a n y T y p e z b w N T n L X > < a : K e y > < K e y > T a b l e s \ b a r g i r i \ D i s t i n c t   C o u n t   o f   4E'1G  ~�4  A'�*H1\ A d d i t i o n a l   I n f o \ I m p l i c i t   M e a s u r e < / K e y > < / a : K e y > < a : V a l u e   i : t y p e = " D i a g r a m D i s p l a y V i e w S t a t e I D i a g r a m T a g A d d i t i o n a l I n f o " / > < / a : K e y V a l u e O f D i a g r a m O b j e c t K e y a n y T y p e z b w N T n L X > < a : K e y V a l u e O f D i a g r a m O b j e c t K e y a n y T y p e z b w N T n L X > < a : K e y > < K e y > T a b l e s \ b a r g i r i \ M e a s u r e s \ C o u n t   o f   *'1�.  ('1��1�< / K e y > < / a : K e y > < a : V a l u e   i : t y p e = " D i a g r a m D i s p l a y N o d e V i e w S t a t e " > < H e i g h t > 1 5 0 < / H e i g h t > < I s E x p a n d e d > t r u e < / I s E x p a n d e d > < W i d t h > 2 0 0 < / W i d t h > < / a : V a l u e > < / a : K e y V a l u e O f D i a g r a m O b j e c t K e y a n y T y p e z b w N T n L X > < a : K e y V a l u e O f D i a g r a m O b j e c t K e y a n y T y p e z b w N T n L X > < a : K e y > < K e y > T a b l e s \ b a r g i r i \ C o u n t   o f   *'1�.  ('1��1�\ A d d i t i o n a l   I n f o \ I m p l i c i t   M e a s u r e < / K e y > < / a : K e y > < a : V a l u e   i : t y p e = " D i a g r a m D i s p l a y V i e w S t a t e I D i a g r a m T a g A d d i t i o n a l I n f o " / > < / a : K e y V a l u e O f D i a g r a m O b j e c t K e y a n y T y p e z b w N T n L X > < a : K e y V a l u e O f D i a g r a m O b j e c t K e y a n y T y p e z b w N T n L X > < a : K e y > < K e y > T a b l e s \ b a r g i r i \ M e a s u r e s \ C o u n t   o f   F'E  E4*1�< / K e y > < / a : K e y > < a : V a l u e   i : t y p e = " D i a g r a m D i s p l a y N o d e V i e w S t a t e " > < H e i g h t > 1 5 0 < / H e i g h t > < I s E x p a n d e d > t r u e < / I s E x p a n d e d > < W i d t h > 2 0 0 < / W i d t h > < / a : V a l u e > < / a : K e y V a l u e O f D i a g r a m O b j e c t K e y a n y T y p e z b w N T n L X > < a : K e y V a l u e O f D i a g r a m O b j e c t K e y a n y T y p e z b w N T n L X > < a : K e y > < K e y > T a b l e s \ b a r g i r i \ C o u n t   o f   F'E  E4*1�\ A d d i t i o n a l   I n f o \ I m p l i c i t   M e a s u r e < / K e y > < / a : K e y > < a : V a l u e   i : t y p e = " D i a g r a m D i s p l a y V i e w S t a t e I D i a g r a m T a g A d d i t i o n a l I n f o " / > < / a : K e y V a l u e O f D i a g r a m O b j e c t K e y a n y T y p e z b w N T n L X > < a : K e y V a l u e O f D i a g r a m O b j e c t K e y a n y T y p e z b w N T n L X > < a : K e y > < K e y > T a b l e s \ b a r g i r i \ M e a s u r e s \ D i s t i n c t   C o u n t   o f   F'E  E4*1�< / K e y > < / a : K e y > < a : V a l u e   i : t y p e = " D i a g r a m D i s p l a y N o d e V i e w S t a t e " > < H e i g h t > 1 5 0 < / H e i g h t > < I s E x p a n d e d > t r u e < / I s E x p a n d e d > < W i d t h > 2 0 0 < / W i d t h > < / a : V a l u e > < / a : K e y V a l u e O f D i a g r a m O b j e c t K e y a n y T y p e z b w N T n L X > < a : K e y V a l u e O f D i a g r a m O b j e c t K e y a n y T y p e z b w N T n L X > < a : K e y > < K e y > T a b l e s \ b a r g i r i \ D i s t i n c t   C o u n t   o f   F'E  E4*1�\ A d d i t i o n a l   I n f o \ I m p l i c i t   M e a s u r e < / K e y > < / a : K e y > < a : V a l u e   i : t y p e = " D i a g r a m D i s p l a y V i e w S t a t e I D i a g r a m T a g A d d i t i o n a l I n f o " / > < / a : K e y V a l u e O f D i a g r a m O b j e c t K e y a n y T y p e z b w N T n L X > < a : K e y V a l u e O f D i a g r a m O b j e c t K e y a n y T y p e z b w N T n L X > < a : K e y > < K e y > T a b l e s \ b a r g i r i \ M e a s u r e s \ D i s t i n c t   C o u n t   o f   *'1�.  ('1��1�< / K e y > < / a : K e y > < a : V a l u e   i : t y p e = " D i a g r a m D i s p l a y N o d e V i e w S t a t e " > < H e i g h t > 1 5 0 < / H e i g h t > < I s E x p a n d e d > t r u e < / I s E x p a n d e d > < W i d t h > 2 0 0 < / W i d t h > < / a : V a l u e > < / a : K e y V a l u e O f D i a g r a m O b j e c t K e y a n y T y p e z b w N T n L X > < a : K e y V a l u e O f D i a g r a m O b j e c t K e y a n y T y p e z b w N T n L X > < a : K e y > < K e y > T a b l e s \ b a r g i r i \ D i s t i n c t   C o u n t   o f   *'1�.  ('1��1�\ A d d i t i o n a l   I n f o \ I m p l i c i t   M e a s u r e < / K e y > < / a : K e y > < a : V a l u e   i : t y p e = " D i a g r a m D i s p l a y V i e w S t a t e I D i a g r a m T a g A d d i t i o n a l I n f o " / > < / a : K e y V a l u e O f D i a g r a m O b j e c t K e y a n y T y p e z b w N T n L X > < a : K e y V a l u e O f D i a g r a m O b j e c t K e y a n y T y p e z b w N T n L X > < a : K e y > < K e y > T a b l e s \ b a r g i r i \ M e a s u r e s \ A v e r a g e   o f   E�2'F  ('1��1�  4/G< / K e y > < / a : K e y > < a : V a l u e   i : t y p e = " D i a g r a m D i s p l a y N o d e V i e w S t a t e " > < H e i g h t > 1 5 0 < / H e i g h t > < I s E x p a n d e d > t r u e < / I s E x p a n d e d > < W i d t h > 2 0 0 < / W i d t h > < / a : V a l u e > < / a : K e y V a l u e O f D i a g r a m O b j e c t K e y a n y T y p e z b w N T n L X > < a : K e y V a l u e O f D i a g r a m O b j e c t K e y a n y T y p e z b w N T n L X > < a : K e y > < K e y > T a b l e s \ b a r g i r i \ A v e r a g e   o f   E�2'F  ('1��1�  4/G\ A d d i t i o n a l   I n f o \ I m p l i c i t   M e a s u r e < / K e y > < / a : K e y > < a : V a l u e   i : t y p e = " D i a g r a m D i s p l a y V i e w S t a t e I D i a g r a m T a g A d d i t i o n a l I n f o " / > < / a : K e y V a l u e O f D i a g r a m O b j e c t K e y a n y T y p e z b w N T n L X > < a : K e y V a l u e O f D i a g r a m O b j e c t K e y a n y T y p e z b w N T n L X > < a : K e y > < K e y > T a b l e s \ b a r g i r i \ M e a s u r e s \ S t d D e v   o f   E�2'F  ('1��1�  4/G< / K e y > < / a : K e y > < a : V a l u e   i : t y p e = " D i a g r a m D i s p l a y N o d e V i e w S t a t e " > < H e i g h t > 1 5 0 < / H e i g h t > < I s E x p a n d e d > t r u e < / I s E x p a n d e d > < W i d t h > 2 0 0 < / W i d t h > < / a : V a l u e > < / a : K e y V a l u e O f D i a g r a m O b j e c t K e y a n y T y p e z b w N T n L X > < a : K e y V a l u e O f D i a g r a m O b j e c t K e y a n y T y p e z b w N T n L X > < a : K e y > < K e y > T a b l e s \ b a r g i r i \ S t d D e v   o f   E�2'F  ('1��1�  4/G\ A d d i t i o n a l   I n f o \ I m p l i c i t   M e a s u r e < / K e y > < / a : K e y > < a : V a l u e   i : t y p e = " D i a g r a m D i s p l a y V i e w S t a t e I D i a g r a m T a g A d d i t i o n a l I n f o " / > < / a : K e y V a l u e O f D i a g r a m O b j e c t K e y a n y T y p e z b w N T n L X > < a : K e y V a l u e O f D i a g r a m O b j e c t K e y a n y T y p e z b w N T n L X > < a : K e y > < K e y > T a b l e s \ i n v o i c e < / K e y > < / a : K e y > < a : V a l u e   i : t y p e = " D i a g r a m D i s p l a y N o d e V i e w S t a t e " > < H e i g h t > 1 5 0 < / H e i g h t > < I s E x p a n d e d > t r u e < / I s E x p a n d e d > < L a y e d O u t > t r u e < / L a y e d O u t > < L e f t > 3 2 9 . 9 0 3 8 1 0 5 6 7 6 6 5 8 < / L e f t > < T a b I n d e x > 1 < / T a b I n d e x > < W i d t h > 2 0 0 < / W i d t h > < / a : V a l u e > < / a : K e y V a l u e O f D i a g r a m O b j e c t K e y a n y T y p e z b w N T n L X > < a : K e y V a l u e O f D i a g r a m O b j e c t K e y a n y T y p e z b w N T n L X > < a : K e y > < K e y > T a b l e s \ i n v o i c e \ C o l u m n s \ 4E'1G  ~�4  A'�*H1< / K e y > < / a : K e y > < a : V a l u e   i : t y p e = " D i a g r a m D i s p l a y N o d e V i e w S t a t e " > < H e i g h t > 1 5 0 < / H e i g h t > < I s E x p a n d e d > t r u e < / I s E x p a n d e d > < W i d t h > 2 0 0 < / W i d t h > < / a : V a l u e > < / a : K e y V a l u e O f D i a g r a m O b j e c t K e y a n y T y p e z b w N T n L X > < a : K e y V a l u e O f D i a g r a m O b j e c t K e y a n y T y p e z b w N T n L X > < a : K e y > < K e y > T a b l e s \ i n v o i c e \ C o l u m n s \ F'E  E4*1�< / K e y > < / a : K e y > < a : V a l u e   i : t y p e = " D i a g r a m D i s p l a y N o d e V i e w S t a t e " > < H e i g h t > 1 5 0 < / H e i g h t > < I s E x p a n d e d > t r u e < / I s E x p a n d e d > < W i d t h > 2 0 0 < / W i d t h > < / a : V a l u e > < / a : K e y V a l u e O f D i a g r a m O b j e c t K e y a n y T y p e z b w N T n L X > < a : K e y V a l u e O f D i a g r a m O b j e c t K e y a n y T y p e z b w N T n L X > < a : K e y > < K e y > T a b l e s \ i n v o i c e \ C o l u m n s \ *'1�.< / K e y > < / a : K e y > < a : V a l u e   i : t y p e = " D i a g r a m D i s p l a y N o d e V i e w S t a t e " > < H e i g h t > 1 5 0 < / H e i g h t > < I s E x p a n d e d > t r u e < / I s E x p a n d e d > < W i d t h > 2 0 0 < / W i d t h > < / a : V a l u e > < / a : K e y V a l u e O f D i a g r a m O b j e c t K e y a n y T y p e z b w N T n L X > < a : K e y V a l u e O f D i a g r a m O b j e c t K e y a n y T y p e z b w N T n L X > < a : K e y > < K e y > T a b l e s \ i n v o i c e \ C o l u m n s \ *'1�.  E,H2  (G1G  (1/'1�< / K e y > < / a : K e y > < a : V a l u e   i : t y p e = " D i a g r a m D i s p l a y N o d e V i e w S t a t e " > < H e i g h t > 1 5 0 < / H e i g h t > < I s E x p a n d e d > t r u e < / I s E x p a n d e d > < W i d t h > 2 0 0 < / W i d t h > < / a : V a l u e > < / a : K e y V a l u e O f D i a g r a m O b j e c t K e y a n y T y p e z b w N T n L X > < a : K e y V a l u e O f D i a g r a m O b j e c t K e y a n y T y p e z b w N T n L X > < a : K e y > < K e y > T a b l e s \ i n v o i c e \ C o l u m n s \ E�2'F  3A'14< / K e y > < / a : K e y > < a : V a l u e   i : t y p e = " D i a g r a m D i s p l a y N o d e V i e w S t a t e " > < H e i g h t > 1 5 0 < / H e i g h t > < I s E x p a n d e d > t r u e < / I s E x p a n d e d > < W i d t h > 2 0 0 < / W i d t h > < / a : V a l u e > < / a : K e y V a l u e O f D i a g r a m O b j e c t K e y a n y T y p e z b w N T n L X > < a : K e y V a l u e O f D i a g r a m O b j e c t K e y a n y T y p e z b w N T n L X > < a : K e y > < K e y > T a b l e s \ i n v o i c e \ C o l u m n s \ A�< / K e y > < / a : K e y > < a : V a l u e   i : t y p e = " D i a g r a m D i s p l a y N o d e V i e w S t a t e " > < H e i g h t > 1 5 0 < / H e i g h t > < I s E x p a n d e d > t r u e < / I s E x p a n d e d > < W i d t h > 2 0 0 < / W i d t h > < / a : V a l u e > < / a : K e y V a l u e O f D i a g r a m O b j e c t K e y a n y T y p e z b w N T n L X > < a : K e y V a l u e O f D i a g r a m O b j e c t K e y a n y T y p e z b w N T n L X > < a : K e y > < K e y > T a b l e s \ i n v o i c e \ C o l u m n s \ E'G< / K e y > < / a : K e y > < a : V a l u e   i : t y p e = " D i a g r a m D i s p l a y N o d e V i e w S t a t e " > < H e i g h t > 1 5 0 < / H e i g h t > < I s E x p a n d e d > t r u e < / I s E x p a n d e d > < W i d t h > 2 0 0 < / W i d t h > < / a : V a l u e > < / a : K e y V a l u e O f D i a g r a m O b j e c t K e y a n y T y p e z b w N T n L X > < a : K e y V a l u e O f D i a g r a m O b j e c t K e y a n y T y p e z b w N T n L X > < a : K e y > < K e y > T a b l e s \ i n v o i c e \ C o l u m n s \ 3'D< / K e y > < / a : K e y > < a : V a l u e   i : t y p e = " D i a g r a m D i s p l a y N o d e V i e w S t a t e " > < H e i g h t > 1 5 0 < / H e i g h t > < I s E x p a n d e d > t r u e < / I s E x p a n d e d > < W i d t h > 2 0 0 < / W i d t h > < / a : V a l u e > < / a : K e y V a l u e O f D i a g r a m O b j e c t K e y a n y T y p e z b w N T n L X > < a : K e y V a l u e O f D i a g r a m O b j e c t K e y a n y T y p e z b w N T n L X > < a : K e y > < K e y > T a b l e s \ i n v o i c e \ M e a s u r e s \ S u m   o f   E�2'F  3A'14< / K e y > < / a : K e y > < a : V a l u e   i : t y p e = " D i a g r a m D i s p l a y N o d e V i e w S t a t e " > < H e i g h t > 1 5 0 < / H e i g h t > < I s E x p a n d e d > t r u e < / I s E x p a n d e d > < W i d t h > 2 0 0 < / W i d t h > < / a : V a l u e > < / a : K e y V a l u e O f D i a g r a m O b j e c t K e y a n y T y p e z b w N T n L X > < a : K e y V a l u e O f D i a g r a m O b j e c t K e y a n y T y p e z b w N T n L X > < a : K e y > < K e y > T a b l e s \ i n v o i c e \ S u m   o f   E�2'F  3A'14\ A d d i t i o n a l   I n f o \ I m p l i c i t   M e a s u r e < / K e y > < / a : K e y > < a : V a l u e   i : t y p e = " D i a g r a m D i s p l a y V i e w S t a t e I D i a g r a m T a g A d d i t i o n a l I n f o " / > < / a : K e y V a l u e O f D i a g r a m O b j e c t K e y a n y T y p e z b w N T n L X > < a : K e y V a l u e O f D i a g r a m O b j e c t K e y a n y T y p e z b w N T n L X > < a : K e y > < K e y > T a b l e s \ i n v o i c e \ M e a s u r e s \ M a x   o f   E�2'F  3A'14< / K e y > < / a : K e y > < a : V a l u e   i : t y p e = " D i a g r a m D i s p l a y N o d e V i e w S t a t e " > < H e i g h t > 1 5 0 < / H e i g h t > < I s E x p a n d e d > t r u e < / I s E x p a n d e d > < W i d t h > 2 0 0 < / W i d t h > < / a : V a l u e > < / a : K e y V a l u e O f D i a g r a m O b j e c t K e y a n y T y p e z b w N T n L X > < a : K e y V a l u e O f D i a g r a m O b j e c t K e y a n y T y p e z b w N T n L X > < a : K e y > < K e y > T a b l e s \ i n v o i c e \ M a x   o f   E�2'F  3A'14\ A d d i t i o n a l   I n f o \ I m p l i c i t   M e a s u r e < / K e y > < / a : K e y > < a : V a l u e   i : t y p e = " D i a g r a m D i s p l a y V i e w S t a t e I D i a g r a m T a g A d d i t i o n a l I n f o " / > < / a : K e y V a l u e O f D i a g r a m O b j e c t K e y a n y T y p e z b w N T n L X > < a : K e y V a l u e O f D i a g r a m O b j e c t K e y a n y T y p e z b w N T n L X > < a : K e y > < K e y > T a b l e s \ i n v o i c e \ M e a s u r e s \ S u m   o f   A�  2 < / K e y > < / a : K e y > < a : V a l u e   i : t y p e = " D i a g r a m D i s p l a y N o d e V i e w S t a t e " > < H e i g h t > 1 5 0 < / H e i g h t > < I s E x p a n d e d > t r u e < / I s E x p a n d e d > < W i d t h > 2 0 0 < / W i d t h > < / a : V a l u e > < / a : K e y V a l u e O f D i a g r a m O b j e c t K e y a n y T y p e z b w N T n L X > < a : K e y V a l u e O f D i a g r a m O b j e c t K e y a n y T y p e z b w N T n L X > < a : K e y > < K e y > T a b l e s \ i n v o i c e \ S u m   o f   A�  2 \ A d d i t i o n a l   I n f o \ I m p l i c i t   M e a s u r e < / K e y > < / a : K e y > < a : V a l u e   i : t y p e = " D i a g r a m D i s p l a y V i e w S t a t e I D i a g r a m T a g A d d i t i o n a l I n f o " / > < / a : K e y V a l u e O f D i a g r a m O b j e c t K e y a n y T y p e z b w N T n L X > < a : K e y V a l u e O f D i a g r a m O b j e c t K e y a n y T y p e z b w N T n L X > < a : K e y > < K e y > T a b l e s \ i n v o i c e \ M e a s u r e s \ A v e r a g e   o f   A�< / K e y > < / a : K e y > < a : V a l u e   i : t y p e = " D i a g r a m D i s p l a y N o d e V i e w S t a t e " > < H e i g h t > 1 5 0 < / H e i g h t > < I s E x p a n d e d > t r u e < / I s E x p a n d e d > < W i d t h > 2 0 0 < / W i d t h > < / a : V a l u e > < / a : K e y V a l u e O f D i a g r a m O b j e c t K e y a n y T y p e z b w N T n L X > < a : K e y V a l u e O f D i a g r a m O b j e c t K e y a n y T y p e z b w N T n L X > < a : K e y > < K e y > T a b l e s \ i n v o i c e \ A v e r a g e   o f   A�\ A d d i t i o n a l   I n f o \ I m p l i c i t   M e a s u r e < / K e y > < / a : K e y > < a : V a l u e   i : t y p e = " D i a g r a m D i s p l a y V i e w S t a t e I D i a g r a m T a g A d d i t i o n a l I n f o " / > < / a : K e y V a l u e O f D i a g r a m O b j e c t K e y a n y T y p e z b w N T n L X > < a : K e y V a l u e O f D i a g r a m O b j e c t K e y a n y T y p e z b w N T n L X > < a : K e y > < K e y > T a b l e s \ i n v o i c e \ M e a s u r e s \ C o u n t   o f   *'1�.< / K e y > < / a : K e y > < a : V a l u e   i : t y p e = " D i a g r a m D i s p l a y N o d e V i e w S t a t e " > < H e i g h t > 1 5 0 < / H e i g h t > < I s E x p a n d e d > t r u e < / I s E x p a n d e d > < W i d t h > 2 0 0 < / W i d t h > < / a : V a l u e > < / a : K e y V a l u e O f D i a g r a m O b j e c t K e y a n y T y p e z b w N T n L X > < a : K e y V a l u e O f D i a g r a m O b j e c t K e y a n y T y p e z b w N T n L X > < a : K e y > < K e y > T a b l e s \ i n v o i c e \ C o u n t   o f   *'1�.\ A d d i t i o n a l   I n f o \ I m p l i c i t   M e a s u r e < / K e y > < / a : K e y > < a : V a l u e   i : t y p e = " D i a g r a m D i s p l a y V i e w S t a t e I D i a g r a m T a g A d d i t i o n a l I n f o " / > < / a : K e y V a l u e O f D i a g r a m O b j e c t K e y a n y T y p e z b w N T n L X > < a : K e y V a l u e O f D i a g r a m O b j e c t K e y a n y T y p e z b w N T n L X > < a : K e y > < K e y > T a b l e s \ i n v o i c e \ M e a s u r e s \ C o u n t   o f   4E'1G  ~�4  A'�*H1  2 < / K e y > < / a : K e y > < a : V a l u e   i : t y p e = " D i a g r a m D i s p l a y N o d e V i e w S t a t e " > < H e i g h t > 1 5 0 < / H e i g h t > < I s E x p a n d e d > t r u e < / I s E x p a n d e d > < W i d t h > 2 0 0 < / W i d t h > < / a : V a l u e > < / a : K e y V a l u e O f D i a g r a m O b j e c t K e y a n y T y p e z b w N T n L X > < a : K e y V a l u e O f D i a g r a m O b j e c t K e y a n y T y p e z b w N T n L X > < a : K e y > < K e y > T a b l e s \ i n v o i c e \ C o u n t   o f   4E'1G  ~�4  A'�*H1  2 \ A d d i t i o n a l   I n f o \ I m p l i c i t   M e a s u r e < / K e y > < / a : K e y > < a : V a l u e   i : t y p e = " D i a g r a m D i s p l a y V i e w S t a t e I D i a g r a m T a g A d d i t i o n a l I n f o " / > < / a : K e y V a l u e O f D i a g r a m O b j e c t K e y a n y T y p e z b w N T n L X > < a : K e y V a l u e O f D i a g r a m O b j e c t K e y a n y T y p e z b w N T n L X > < a : K e y > < K e y > T a b l e s \ i n v o i c e \ M e a s u r e s \ A v e r a g e   o f   E�2'F  3A'14< / K e y > < / a : K e y > < a : V a l u e   i : t y p e = " D i a g r a m D i s p l a y N o d e V i e w S t a t e " > < H e i g h t > 1 5 0 < / H e i g h t > < I s E x p a n d e d > t r u e < / I s E x p a n d e d > < W i d t h > 2 0 0 < / W i d t h > < / a : V a l u e > < / a : K e y V a l u e O f D i a g r a m O b j e c t K e y a n y T y p e z b w N T n L X > < a : K e y V a l u e O f D i a g r a m O b j e c t K e y a n y T y p e z b w N T n L X > < a : K e y > < K e y > T a b l e s \ i n v o i c e \ A v e r a g e   o f   E�2'F  3A'14\ A d d i t i o n a l   I n f o \ I m p l i c i t   M e a s u r e < / K e y > < / a : K e y > < a : V a l u e   i : t y p e = " D i a g r a m D i s p l a y V i e w S t a t e I D i a g r a m T a g A d d i t i o n a l I n f o " / > < / a : K e y V a l u e O f D i a g r a m O b j e c t K e y a n y T y p e z b w N T n L X > < a : K e y V a l u e O f D i a g r a m O b j e c t K e y a n y T y p e z b w N T n L X > < a : K e y > < K e y > T a b l e s \ i n v o i c e \ M e a s u r e s \ S t d D e v   o f   E�2'F  3A'14< / K e y > < / a : K e y > < a : V a l u e   i : t y p e = " D i a g r a m D i s p l a y N o d e V i e w S t a t e " > < H e i g h t > 1 5 0 < / H e i g h t > < I s E x p a n d e d > t r u e < / I s E x p a n d e d > < W i d t h > 2 0 0 < / W i d t h > < / a : V a l u e > < / a : K e y V a l u e O f D i a g r a m O b j e c t K e y a n y T y p e z b w N T n L X > < a : K e y V a l u e O f D i a g r a m O b j e c t K e y a n y T y p e z b w N T n L X > < a : K e y > < K e y > T a b l e s \ i n v o i c e \ S t d D e v   o f   E�2'F  3A'14\ A d d i t i o n a l   I n f o \ I m p l i c i t   M e a s u r e < / K e y > < / a : K e y > < a : V a l u e   i : t y p e = " D i a g r a m D i s p l a y V i e w S t a t e I D i a g r a m T a g A d d i t i o n a l I n f o " / > < / a : K e y V a l u e O f D i a g r a m O b j e c t K e y a n y T y p e z b w N T n L X > < a : K e y V a l u e O f D i a g r a m O b j e c t K e y a n y T y p e z b w N T n L X > < a : K e y > < K e y > T a b l e s \ i n v o i c e \ M e a s u r e s \ S t d D e v p   o f   E�2'F  3A'14< / K e y > < / a : K e y > < a : V a l u e   i : t y p e = " D i a g r a m D i s p l a y N o d e V i e w S t a t e " > < H e i g h t > 1 5 0 < / H e i g h t > < I s E x p a n d e d > t r u e < / I s E x p a n d e d > < W i d t h > 2 0 0 < / W i d t h > < / a : V a l u e > < / a : K e y V a l u e O f D i a g r a m O b j e c t K e y a n y T y p e z b w N T n L X > < a : K e y V a l u e O f D i a g r a m O b j e c t K e y a n y T y p e z b w N T n L X > < a : K e y > < K e y > T a b l e s \ i n v o i c e \ S t d D e v p   o f   E�2'F  3A'14\ A d d i t i o n a l   I n f o \ I m p l i c i t   M e a s u r e < / K e y > < / a : K e y > < a : V a l u e   i : t y p e = " D i a g r a m D i s p l a y V i e w S t a t e I D i a g r a m T a g A d d i t i o n a l I n f o " / > < / a : K e y V a l u e O f D i a g r a m O b j e c t K e y a n y T y p e z b w N T n L X > < a : K e y V a l u e O f D i a g r a m O b j e c t K e y a n y T y p e z b w N T n L X > < a : K e y > < K e y > T a b l e s \ i n v o i c e \ M e a s u r e s \ V a r   o f   E�2'F  3A'14< / K e y > < / a : K e y > < a : V a l u e   i : t y p e = " D i a g r a m D i s p l a y N o d e V i e w S t a t e " > < H e i g h t > 1 5 0 < / H e i g h t > < I s E x p a n d e d > t r u e < / I s E x p a n d e d > < W i d t h > 2 0 0 < / W i d t h > < / a : V a l u e > < / a : K e y V a l u e O f D i a g r a m O b j e c t K e y a n y T y p e z b w N T n L X > < a : K e y V a l u e O f D i a g r a m O b j e c t K e y a n y T y p e z b w N T n L X > < a : K e y > < K e y > T a b l e s \ i n v o i c e \ V a r   o f   E�2'F  3A'14\ A d d i t i o n a l   I n f o \ I m p l i c i t   M e a s u r e < / K e y > < / a : K e y > < a : V a l u e   i : t y p e = " D i a g r a m D i s p l a y V i e w S t a t e I D i a g r a m T a g A d d i t i o n a l I n f o " / > < / a : K e y V a l u e O f D i a g r a m O b j e c t K e y a n y T y p e z b w N T n L X > < a : K e y V a l u e O f D i a g r a m O b j e c t K e y a n y T y p e z b w N T n L X > < a : K e y > < K e y > T a b l e s \ T a b l e 1 < / K e y > < / a : K e y > < a : V a l u e   i : t y p e = " D i a g r a m D i s p l a y N o d e V i e w S t a t e " > < H e i g h t > 1 5 0 < / H e i g h t > < I s E x p a n d e d > t r u e < / I s E x p a n d e d > < L a y e d O u t > t r u e < / L a y e d O u t > < L e f t > 5 4 3 . 5 0 3 8 1 0 5 6 7 6 6 5 8 2 < / L e f t > < T a b I n d e x > 3 < / T a b I n d e x > < T o p > 1 6 4 . 8 0 0 0 0 0 0 0 0 0 0 0 0 7 < / T o p > < W i d t h > 2 0 0 < / W i d t h > < / a : V a l u e > < / a : K e y V a l u e O f D i a g r a m O b j e c t K e y a n y T y p e z b w N T n L X > < a : K e y V a l u e O f D i a g r a m O b j e c t K e y a n y T y p e z b w N T n L X > < a : K e y > < K e y > T a b l e s \ T a b l e 1 \ C o l u m n s \ R o w   L a b e l s < / K e y > < / a : K e y > < a : V a l u e   i : t y p e = " D i a g r a m D i s p l a y N o d e V i e w S t a t e " > < H e i g h t > 1 5 0 < / H e i g h t > < I s E x p a n d e d > t r u e < / I s E x p a n d e d > < W i d t h > 2 0 0 < / W i d t h > < / a : V a l u e > < / a : K e y V a l u e O f D i a g r a m O b j e c t K e y a n y T y p e z b w N T n L X > < a : K e y V a l u e O f D i a g r a m O b j e c t K e y a n y T y p e z b w N T n L X > < a : K e y > < K e y > T a b l e s \ T a b l e 1 \ C o l u m n s \ S u m   o f   A�  2 < / K e y > < / a : K e y > < a : V a l u e   i : t y p e = " D i a g r a m D i s p l a y N o d e V i e w S t a t e " > < H e i g h t > 1 5 0 < / H e i g h t > < I s E x p a n d e d > t r u e < / I s E x p a n d e d > < W i d t h > 2 0 0 < / W i d t h > < / a : V a l u e > < / a : K e y V a l u e O f D i a g r a m O b j e c t K e y a n y T y p e z b w N T n L X > < a : K e y V a l u e O f D i a g r a m O b j e c t K e y a n y T y p e z b w N T n L X > < a : K e y > < K e y > T a b l e s \ T a b l e 1 \ C o l u m n s \ S u m   o f   E�2'F  ('1��1�  4/G< / K e y > < / a : K e y > < a : V a l u e   i : t y p e = " D i a g r a m D i s p l a y N o d e V i e w S t a t e " > < H e i g h t > 1 5 0 < / H e i g h t > < I s E x p a n d e d > t r u e < / I s E x p a n d e d > < W i d t h > 2 0 0 < / W i d t h > < / a : V a l u e > < / a : K e y V a l u e O f D i a g r a m O b j e c t K e y a n y T y p e z b w N T n L X > < a : K e y V a l u e O f D i a g r a m O b j e c t K e y a n y T y p e z b w N T n L X > < a : K e y > < K e y > T a b l e s \ T a b l e 1 \ C o l u m n s \ E'F/G< / K e y > < / a : K e y > < a : V a l u e   i : t y p e = " D i a g r a m D i s p l a y N o d e V i e w S t a t e " > < H e i g h t > 1 5 0 < / H e i g h t > < I s E x p a n d e d > t r u e < / I s E x p a n d e d > < W i d t h > 2 0 0 < / W i d t h > < / a : V a l u e > < / a : K e y V a l u e O f D i a g r a m O b j e c t K e y a n y T y p e z b w N T n L X > < a : K e y V a l u e O f D i a g r a m O b j e c t K e y a n y T y p e z b w N T n L X > < a : K e y > < K e y > T a b l e s \ i n v o i c e 2 < / K e y > < / a : K e y > < a : V a l u e   i : t y p e = " D i a g r a m D i s p l a y N o d e V i e w S t a t e " > < H e i g h t > 1 5 0 < / H e i g h t > < I s E x p a n d e d > t r u e < / I s E x p a n d e d > < L a y e d O u t > t r u e < / L a y e d O u t > < L e f t > 3 3 1 . 1 0 3 8 1 0 5 6 7 6 6 5 7 3 < / L e f t > < T a b I n d e x > 2 < / T a b I n d e x > < T o p > 1 9 9 . 8 < / T o p > < W i d t h > 2 0 0 < / W i d t h > < / a : V a l u e > < / a : K e y V a l u e O f D i a g r a m O b j e c t K e y a n y T y p e z b w N T n L X > < a : K e y V a l u e O f D i a g r a m O b j e c t K e y a n y T y p e z b w N T n L X > < a : K e y > < K e y > T a b l e s \ i n v o i c e 2 \ C o l u m n s \ 4E'1G  ~�4  A'�*H1< / K e y > < / a : K e y > < a : V a l u e   i : t y p e = " D i a g r a m D i s p l a y N o d e V i e w S t a t e " > < H e i g h t > 1 5 0 < / H e i g h t > < I s E x p a n d e d > t r u e < / I s E x p a n d e d > < W i d t h > 2 0 0 < / W i d t h > < / a : V a l u e > < / a : K e y V a l u e O f D i a g r a m O b j e c t K e y a n y T y p e z b w N T n L X > < a : K e y V a l u e O f D i a g r a m O b j e c t K e y a n y T y p e z b w N T n L X > < a : K e y > < K e y > T a b l e s \ i n v o i c e 2 \ C o l u m n s \ F'E  E4*1�< / K e y > < / a : K e y > < a : V a l u e   i : t y p e = " D i a g r a m D i s p l a y N o d e V i e w S t a t e " > < H e i g h t > 1 5 0 < / H e i g h t > < I s E x p a n d e d > t r u e < / I s E x p a n d e d > < W i d t h > 2 0 0 < / W i d t h > < / a : V a l u e > < / a : K e y V a l u e O f D i a g r a m O b j e c t K e y a n y T y p e z b w N T n L X > < a : K e y V a l u e O f D i a g r a m O b j e c t K e y a n y T y p e z b w N T n L X > < a : K e y > < K e y > T a b l e s \ i n v o i c e 2 \ C o l u m n s \ *'1�.< / K e y > < / a : K e y > < a : V a l u e   i : t y p e = " D i a g r a m D i s p l a y N o d e V i e w S t a t e " > < H e i g h t > 1 5 0 < / H e i g h t > < I s E x p a n d e d > t r u e < / I s E x p a n d e d > < W i d t h > 2 0 0 < / W i d t h > < / a : V a l u e > < / a : K e y V a l u e O f D i a g r a m O b j e c t K e y a n y T y p e z b w N T n L X > < a : K e y V a l u e O f D i a g r a m O b j e c t K e y a n y T y p e z b w N T n L X > < a : K e y > < K e y > T a b l e s \ i n v o i c e 2 \ C o l u m n s \ *'1�.  E,H2  (G1G  (1/'1�< / K e y > < / a : K e y > < a : V a l u e   i : t y p e = " D i a g r a m D i s p l a y N o d e V i e w S t a t e " > < H e i g h t > 1 5 0 < / H e i g h t > < I s E x p a n d e d > t r u e < / I s E x p a n d e d > < W i d t h > 2 0 0 < / W i d t h > < / a : V a l u e > < / a : K e y V a l u e O f D i a g r a m O b j e c t K e y a n y T y p e z b w N T n L X > < a : K e y V a l u e O f D i a g r a m O b j e c t K e y a n y T y p e z b w N T n L X > < a : K e y > < K e y > T a b l e s \ i n v o i c e 2 \ C o l u m n s \ E�2'F  3A'14< / K e y > < / a : K e y > < a : V a l u e   i : t y p e = " D i a g r a m D i s p l a y N o d e V i e w S t a t e " > < H e i g h t > 1 5 0 < / H e i g h t > < I s E x p a n d e d > t r u e < / I s E x p a n d e d > < W i d t h > 2 0 0 < / W i d t h > < / a : V a l u e > < / a : K e y V a l u e O f D i a g r a m O b j e c t K e y a n y T y p e z b w N T n L X > < a : K e y V a l u e O f D i a g r a m O b j e c t K e y a n y T y p e z b w N T n L X > < a : K e y > < K e y > T a b l e s \ i n v o i c e 2 \ C o l u m n s \ A�< / K e y > < / a : K e y > < a : V a l u e   i : t y p e = " D i a g r a m D i s p l a y N o d e V i e w S t a t e " > < H e i g h t > 1 5 0 < / H e i g h t > < I s E x p a n d e d > t r u e < / I s E x p a n d e d > < W i d t h > 2 0 0 < / W i d t h > < / a : V a l u e > < / a : K e y V a l u e O f D i a g r a m O b j e c t K e y a n y T y p e z b w N T n L X > < a : K e y V a l u e O f D i a g r a m O b j e c t K e y a n y T y p e z b w N T n L X > < a : K e y > < K e y > T a b l e s \ i n v o i c e 2 \ C o l u m n s \ -ED  4/G< / K e y > < / a : K e y > < a : V a l u e   i : t y p e = " D i a g r a m D i s p l a y N o d e V i e w S t a t e " > < H e i g h t > 1 5 0 < / H e i g h t > < I s E x p a n d e d > t r u e < / I s E x p a n d e d > < W i d t h > 2 0 0 < / W i d t h > < / a : V a l u e > < / a : K e y V a l u e O f D i a g r a m O b j e c t K e y a n y T y p e z b w N T n L X > < a : K e y V a l u e O f D i a g r a m O b j e c t K e y a n y T y p e z b w N T n L X > < a : K e y > < K e y > T a b l e s \ i n v o i c e 2 \ C o l u m n s \ E'F/G< / K e y > < / a : K e y > < a : V a l u e   i : t y p e = " D i a g r a m D i s p l a y N o d e V i e w S t a t e " > < H e i g h t > 1 5 0 < / H e i g h t > < I s E x p a n d e d > t r u e < / I s E x p a n d e d > < W i d t h > 2 0 0 < / W i d t h > < / a : V a l u e > < / a : K e y V a l u e O f D i a g r a m O b j e c t K e y a n y T y p e z b w N T n L X > < a : K e y V a l u e O f D i a g r a m O b j e c t K e y a n y T y p e z b w N T n L X > < a : K e y > < K e y > T a b l e s \ i n v o i c e 2 \ C o l u m n s \ FH9< / K e y > < / a : K e y > < a : V a l u e   i : t y p e = " D i a g r a m D i s p l a y N o d e V i e w S t a t e " > < H e i g h t > 1 5 0 < / H e i g h t > < I s E x p a n d e d > t r u e < / I s E x p a n d e d > < W i d t h > 2 0 0 < / W i d t h > < / a : V a l u e > < / a : K e y V a l u e O f D i a g r a m O b j e c t K e y a n y T y p e z b w N T n L X > < a : K e y V a l u e O f D i a g r a m O b j e c t K e y a n y T y p e z b w N T n L X > < a : K e y > < K e y > T a b l e s \ i n v o i c e 2 \ C o l u m n s \ 44  E'GG  'HD< / K e y > < / a : K e y > < a : V a l u e   i : t y p e = " D i a g r a m D i s p l a y N o d e V i e w S t a t e " > < H e i g h t > 1 5 0 < / H e i g h t > < I s E x p a n d e d > t r u e < / I s E x p a n d e d > < W i d t h > 2 0 0 < / W i d t h > < / a : V a l u e > < / a : K e y V a l u e O f D i a g r a m O b j e c t K e y a n y T y p e z b w N T n L X > < a : K e y V a l u e O f D i a g r a m O b j e c t K e y a n y T y p e z b w N T n L X > < a : K e y > < K e y > T a b l e s \ i n v o i c e 2 \ C o l u m n s \ *H2�9  GA*��< / K e y > < / a : K e y > < a : V a l u e   i : t y p e = " D i a g r a m D i s p l a y N o d e V i e w S t a t e " > < H e i g h t > 1 5 0 < / H e i g h t > < I s E x p a n d e d > t r u e < / I s E x p a n d e d > < W i d t h > 2 0 0 < / W i d t h > < / a : V a l u e > < / a : K e y V a l u e O f D i a g r a m O b j e c t K e y a n y T y p e z b w N T n L X > < a : K e y V a l u e O f D i a g r a m O b j e c t K e y a n y T y p e z b w N T n L X > < a : K e y > < K e y > T a b l e s \ i n v o i c e 2 \ C o l u m n s \ 44  E'GG  /HE< / K e y > < / a : K e y > < a : V a l u e   i : t y p e = " D i a g r a m D i s p l a y N o d e V i e w S t a t e " > < H e i g h t > 1 5 0 < / H e i g h t > < I s E x p a n d e d > t r u e < / I s E x p a n d e d > < W i d t h > 2 0 0 < / W i d t h > < / a : V a l u e > < / a : K e y V a l u e O f D i a g r a m O b j e c t K e y a n y T y p e z b w N T n L X > < a : K e y V a l u e O f D i a g r a m O b j e c t K e y a n y T y p e z b w N T n L X > < a : K e y > < K e y > T a b l e s \ i n v o i c e 2 \ C o l u m n s \ *H2�9  GA*��2 < / K e y > < / a : K e y > < a : V a l u e   i : t y p e = " D i a g r a m D i s p l a y N o d e V i e w S t a t e " > < H e i g h t > 1 5 0 < / H e i g h t > < I s E x p a n d e d > t r u e < / I s E x p a n d e d > < W i d t h > 2 0 0 < / W i d t h > < / a : V a l u e > < / a : K e y V a l u e O f D i a g r a m O b j e c t K e y a n y T y p e z b w N T n L X > < a : K e y V a l u e O f D i a g r a m O b j e c t K e y a n y T y p e z b w N T n L X > < a : K e y > < K e y > T a b l e s \ i n v o i c e 2 \ C o l u m n s \ *H6�-'*< / K e y > < / a : K e y > < a : V a l u e   i : t y p e = " D i a g r a m D i s p l a y N o d e V i e w S t a t e " > < H e i g h t > 1 5 0 < / H e i g h t > < I s E x p a n d e d > t r u e < / I s E x p a n d e d > < W i d t h > 2 0 0 < / W i d t h > < / a : V a l u e > < / a : K e y V a l u e O f D i a g r a m O b j e c t K e y a n y T y p e z b w N T n L X > < a : K e y V a l u e O f D i a g r a m O b j e c t K e y a n y T y p e z b w N T n L X > < a : K e y > < K e y > T a b l e s \ i n v o i c e 2 \ M e a s u r e s \ S u m   o f   E�2'F  3A'14  2 < / K e y > < / a : K e y > < a : V a l u e   i : t y p e = " D i a g r a m D i s p l a y N o d e V i e w S t a t e " > < H e i g h t > 1 5 0 < / H e i g h t > < I s E x p a n d e d > t r u e < / I s E x p a n d e d > < W i d t h > 2 0 0 < / W i d t h > < / a : V a l u e > < / a : K e y V a l u e O f D i a g r a m O b j e c t K e y a n y T y p e z b w N T n L X > < a : K e y V a l u e O f D i a g r a m O b j e c t K e y a n y T y p e z b w N T n L X > < a : K e y > < K e y > T a b l e s \ i n v o i c e 2 \ S u m   o f   E�2'F  3A'14  2 \ A d d i t i o n a l   I n f o \ I m p l i c i t   M e a s u r e < / K e y > < / a : K e y > < a : V a l u e   i : t y p e = " D i a g r a m D i s p l a y V i e w S t a t e I D i a g r a m T a g A d d i t i o n a l I n f o " / > < / a : K e y V a l u e O f D i a g r a m O b j e c t K e y a n y T y p e z b w N T n L X > < a : K e y V a l u e O f D i a g r a m O b j e c t K e y a n y T y p e z b w N T n L X > < a : K e y > < K e y > T a b l e s \ i n v o i c e 2 \ M e a s u r e s \ C o u n t   o f   4E'1G  ~�4  A'�*H1  3 < / K e y > < / a : K e y > < a : V a l u e   i : t y p e = " D i a g r a m D i s p l a y N o d e V i e w S t a t e " > < H e i g h t > 1 5 0 < / H e i g h t > < I s E x p a n d e d > t r u e < / I s E x p a n d e d > < W i d t h > 2 0 0 < / W i d t h > < / a : V a l u e > < / a : K e y V a l u e O f D i a g r a m O b j e c t K e y a n y T y p e z b w N T n L X > < a : K e y V a l u e O f D i a g r a m O b j e c t K e y a n y T y p e z b w N T n L X > < a : K e y > < K e y > T a b l e s \ i n v o i c e 2 \ C o u n t   o f   4E'1G  ~�4  A'�*H1  3 \ A d d i t i o n a l   I n f o \ I m p l i c i t   M e a s u r e < / K e y > < / a : K e y > < a : V a l u e   i : t y p e = " D i a g r a m D i s p l a y V i e w S t a t e I D i a g r a m T a g A d d i t i o n a l I n f o " / > < / a : K e y V a l u e O f D i a g r a m O b j e c t K e y a n y T y p e z b w N T n L X > < a : K e y V a l u e O f D i a g r a m O b j e c t K e y a n y T y p e z b w N T n L X > < a : K e y > < K e y > R e l a t i o n s h i p s \ & l t ; T a b l e s \ i n v o i c e \ C o l u m n s \ 4E'1G  ~�4  A'�*H1& g t ; - & l t ; T a b l e s \ i n v o i c e 2 \ C o l u m n s \ 4E'1G  ~�4  A'�*H1& g t ; < / K e y > < / a : K e y > < a : V a l u e   i : t y p e = " D i a g r a m D i s p l a y L i n k V i e w S t a t e " > < A u t o m a t i o n P r o p e r t y H e l p e r T e x t > E n d   p o i n t   1 :   ( 4 2 0 . 5 0 3 8 1 1 , 1 6 6 ) .   E n d   p o i n t   2 :   ( 4 4 0 . 5 0 3 8 1 1 , 1 8 3 . 8 )   < / A u t o m a t i o n P r o p e r t y H e l p e r T e x t > < L a y e d O u t > t r u e < / L a y e d O u t > < P o i n t s   x m l n s : b = " h t t p : / / s c h e m a s . d a t a c o n t r a c t . o r g / 2 0 0 4 / 0 7 / S y s t e m . W i n d o w s " > < b : P o i n t > < b : _ x > 4 2 0 . 5 0 3 8 1 1 < / b : _ x > < b : _ y > 1 6 6 < / b : _ y > < / b : P o i n t > < b : P o i n t > < b : _ x > 4 2 0 . 5 0 3 8 1 1 < / b : _ x > < b : _ y > 1 7 2 . 9 < / b : _ y > < / b : P o i n t > < b : P o i n t > < b : _ x > 4 2 2 . 5 0 3 8 1 1 < / b : _ x > < b : _ y > 1 7 4 . 9 < / b : _ y > < / b : P o i n t > < b : P o i n t > < b : _ x > 4 3 8 . 5 0 3 8 1 1 < / b : _ x > < b : _ y > 1 7 4 . 9 < / b : _ y > < / b : P o i n t > < b : P o i n t > < b : _ x > 4 4 0 . 5 0 3 8 1 1 < / b : _ x > < b : _ y > 1 7 6 . 9 < / b : _ y > < / b : P o i n t > < b : P o i n t > < b : _ x > 4 4 0 . 5 0 3 8 1 0 9 9 9 9 9 9 9 3 < / b : _ x > < b : _ y > 1 8 3 . 7 9 9 9 9 9 9 9 9 9 9 9 9 5 < / b : _ y > < / b : P o i n t > < / P o i n t s > < / a : V a l u e > < / a : K e y V a l u e O f D i a g r a m O b j e c t K e y a n y T y p e z b w N T n L X > < a : K e y V a l u e O f D i a g r a m O b j e c t K e y a n y T y p e z b w N T n L X > < a : K e y > < K e y > R e l a t i o n s h i p s \ & l t ; T a b l e s \ i n v o i c e \ C o l u m n s \ 4E'1G  ~�4  A'�*H1& g t ; - & l t ; T a b l e s \ i n v o i c e 2 \ C o l u m n s \ 4E'1G  ~�4  A'�*H1& g t ; \ F K < / K e y > < / a : K e y > < a : V a l u e   i : t y p e = " D i a g r a m D i s p l a y L i n k E n d p o i n t V i e w S t a t e " > < H e i g h t > 1 6 < / H e i g h t > < L a b e l L o c a t i o n   x m l n s : b = " h t t p : / / s c h e m a s . d a t a c o n t r a c t . o r g / 2 0 0 4 / 0 7 / S y s t e m . W i n d o w s " > < b : _ x > 4 1 2 . 5 0 3 8 1 1 < / b : _ x > < b : _ y > 1 5 0 < / b : _ y > < / L a b e l L o c a t i o n > < L o c a t i o n   x m l n s : b = " h t t p : / / s c h e m a s . d a t a c o n t r a c t . o r g / 2 0 0 4 / 0 7 / S y s t e m . W i n d o w s " > < b : _ x > 4 2 0 . 5 0 3 8 1 1 < / b : _ x > < b : _ y > 1 5 0 < / b : _ y > < / L o c a t i o n > < S h a p e R o t a t e A n g l e > 9 0 < / S h a p e R o t a t e A n g l e > < W i d t h > 1 6 < / W i d t h > < / a : V a l u e > < / a : K e y V a l u e O f D i a g r a m O b j e c t K e y a n y T y p e z b w N T n L X > < a : K e y V a l u e O f D i a g r a m O b j e c t K e y a n y T y p e z b w N T n L X > < a : K e y > < K e y > R e l a t i o n s h i p s \ & l t ; T a b l e s \ i n v o i c e \ C o l u m n s \ 4E'1G  ~�4  A'�*H1& g t ; - & l t ; T a b l e s \ i n v o i c e 2 \ C o l u m n s \ 4E'1G  ~�4  A'�*H1& g t ; \ P K < / K e y > < / a : K e y > < a : V a l u e   i : t y p e = " D i a g r a m D i s p l a y L i n k E n d p o i n t V i e w S t a t e " > < H e i g h t > 1 6 < / H e i g h t > < L a b e l L o c a t i o n   x m l n s : b = " h t t p : / / s c h e m a s . d a t a c o n t r a c t . o r g / 2 0 0 4 / 0 7 / S y s t e m . W i n d o w s " > < b : _ x > 4 3 2 . 5 0 3 8 1 0 9 9 9 9 9 9 9 3 < / b : _ x > < b : _ y > 1 8 3 . 7 9 9 9 9 9 9 9 9 9 9 9 9 5 < / b : _ y > < / L a b e l L o c a t i o n > < L o c a t i o n   x m l n s : b = " h t t p : / / s c h e m a s . d a t a c o n t r a c t . o r g / 2 0 0 4 / 0 7 / S y s t e m . W i n d o w s " > < b : _ x > 4 4 0 . 5 0 3 8 1 1 < / b : _ x > < b : _ y > 1 9 9 . 7 9 9 9 9 9 9 9 9 9 9 9 9 5 < / b : _ y > < / L o c a t i o n > < S h a p e R o t a t e A n g l e > 2 6 9 . 9 9 9 9 9 9 9 9 9 9 9 9 7 7 < / S h a p e R o t a t e A n g l e > < W i d t h > 1 6 < / W i d t h > < / a : V a l u e > < / a : K e y V a l u e O f D i a g r a m O b j e c t K e y a n y T y p e z b w N T n L X > < a : K e y V a l u e O f D i a g r a m O b j e c t K e y a n y T y p e z b w N T n L X > < a : K e y > < K e y > R e l a t i o n s h i p s \ & l t ; T a b l e s \ i n v o i c e \ C o l u m n s \ 4E'1G  ~�4  A'�*H1& g t ; - & l t ; T a b l e s \ i n v o i c e 2 \ C o l u m n s \ 4E'1G  ~�4  A'�*H1& g t ; \ C r o s s F i l t e r < / K e y > < / a : K e y > < a : V a l u e   i : t y p e = " D i a g r a m D i s p l a y L i n k C r o s s F i l t e r V i e w S t a t e " > < P o i n t s   x m l n s : b = " h t t p : / / s c h e m a s . d a t a c o n t r a c t . o r g / 2 0 0 4 / 0 7 / S y s t e m . W i n d o w s " > < b : P o i n t > < b : _ x > 4 2 0 . 5 0 3 8 1 1 < / b : _ x > < b : _ y > 1 6 6 < / b : _ y > < / b : P o i n t > < b : P o i n t > < b : _ x > 4 2 0 . 5 0 3 8 1 1 < / b : _ x > < b : _ y > 1 7 2 . 9 < / b : _ y > < / b : P o i n t > < b : P o i n t > < b : _ x > 4 2 2 . 5 0 3 8 1 1 < / b : _ x > < b : _ y > 1 7 4 . 9 < / b : _ y > < / b : P o i n t > < b : P o i n t > < b : _ x > 4 3 8 . 5 0 3 8 1 1 < / b : _ x > < b : _ y > 1 7 4 . 9 < / b : _ y > < / b : P o i n t > < b : P o i n t > < b : _ x > 4 4 0 . 5 0 3 8 1 1 < / b : _ x > < b : _ y > 1 7 6 . 9 < / b : _ y > < / b : P o i n t > < b : P o i n t > < b : _ x > 4 4 0 . 5 0 3 8 1 0 9 9 9 9 9 9 9 3 < / b : _ x > < b : _ y > 1 8 3 . 7 9 9 9 9 9 9 9 9 9 9 9 9 5 < / b : _ y > < / b : P o i n t > < / P o i n t s > < / a : V a l u e > < / a : K e y V a l u e O f D i a g r a m O b j e c t K e y a n y T y p e z b w N T n L X > < a : K e y V a l u e O f D i a g r a m O b j e c t K e y a n y T y p e z b w N T n L X > < a : K e y > < K e y > R e l a t i o n s h i p s \ & l t ; T a b l e s \ b a r g i r i \ C o l u m n s \ 4E'1G  ~�4  A'�*H1& g t ; - & l t ; T a b l e s \ i n v o i c e \ C o l u m n s \ 4E'1G  ~�4  A'�*H1& g t ; < / K e y > < / a : K e y > < a : V a l u e   i : t y p e = " D i a g r a m D i s p l a y L i n k V i e w S t a t e " > < A u t o m a t i o n P r o p e r t y H e l p e r T e x t > E n d   p o i n t   1 :   ( 2 1 6 , 7 5 ) .   E n d   p o i n t   2 :   ( 3 1 3 . 9 0 3 8 1 0 5 6 7 6 6 6 , 7 5 )   < / A u t o m a t i o n P r o p e r t y H e l p e r T e x t > < L a y e d O u t > t r u e < / L a y e d O u t > < P o i n t s   x m l n s : b = " h t t p : / / s c h e m a s . d a t a c o n t r a c t . o r g / 2 0 0 4 / 0 7 / S y s t e m . W i n d o w s " > < b : P o i n t > < b : _ x > 2 1 6 . 0 0 0 0 0 0 0 0 0 0 0 0 0 3 < / b : _ x > < b : _ y > 7 5 < / b : _ y > < / b : P o i n t > < b : P o i n t > < b : _ x > 3 1 3 . 9 0 3 8 1 0 5 6 7 6 6 5 8 < / b : _ x > < b : _ y > 7 5 < / b : _ y > < / b : P o i n t > < / P o i n t s > < / a : V a l u e > < / a : K e y V a l u e O f D i a g r a m O b j e c t K e y a n y T y p e z b w N T n L X > < a : K e y V a l u e O f D i a g r a m O b j e c t K e y a n y T y p e z b w N T n L X > < a : K e y > < K e y > R e l a t i o n s h i p s \ & l t ; T a b l e s \ b a r g i r i \ C o l u m n s \ 4E'1G  ~�4  A'�*H1& g t ; - & l t ; T a b l e s \ i n v o i c e \ C o l u m n s \ 4E'1G  ~�4  A'�*H1& g t ; \ F K < / K e y > < / a : K e y > < a : V a l u e   i : t y p e = " D i a g r a m D i s p l a y L i n k E n d p o i n t V i e w S t a t e " > < H e i g h t > 1 6 < / H e i g h t > < L a b e l L o c a t i o n   x m l n s : b = " h t t p : / / s c h e m a s . d a t a c o n t r a c t . o r g / 2 0 0 4 / 0 7 / S y s t e m . W i n d o w s " > < b : _ x > 2 0 0 . 0 0 0 0 0 0 0 0 0 0 0 0 0 3 < / b : _ x > < b : _ y > 6 7 < / b : _ y > < / L a b e l L o c a t i o n > < L o c a t i o n   x m l n s : b = " h t t p : / / s c h e m a s . d a t a c o n t r a c t . o r g / 2 0 0 4 / 0 7 / S y s t e m . W i n d o w s " > < b : _ x > 2 0 0 < / b : _ x > < b : _ y > 7 5 < / b : _ y > < / L o c a t i o n > < S h a p e R o t a t e A n g l e > 3 6 0 < / S h a p e R o t a t e A n g l e > < W i d t h > 1 6 < / W i d t h > < / a : V a l u e > < / a : K e y V a l u e O f D i a g r a m O b j e c t K e y a n y T y p e z b w N T n L X > < a : K e y V a l u e O f D i a g r a m O b j e c t K e y a n y T y p e z b w N T n L X > < a : K e y > < K e y > R e l a t i o n s h i p s \ & l t ; T a b l e s \ b a r g i r i \ C o l u m n s \ 4E'1G  ~�4  A'�*H1& g t ; - & l t ; T a b l e s \ i n v o i c e \ C o l u m n s \ 4E'1G  ~�4  A'�*H1& g t ; \ P K 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 R e l a t i o n s h i p s \ & l t ; T a b l e s \ b a r g i r i \ C o l u m n s \ 4E'1G  ~�4  A'�*H1& g t ; - & l t ; T a b l e s \ i n v o i c e \ C o l u m n s \ 4E'1G  ~�4  A'�*H1& g t ; \ C r o s s F i l t e r < / K e y > < / a : K e y > < a : V a l u e   i : t y p e = " D i a g r a m D i s p l a y L i n k C r o s s F i l t e r V i e w S t a t e " > < P o i n t s   x m l n s : b = " h t t p : / / s c h e m a s . d a t a c o n t r a c t . o r g / 2 0 0 4 / 0 7 / S y s t e m . W i n d o w s " > < b : P o i n t > < b : _ x > 2 1 6 . 0 0 0 0 0 0 0 0 0 0 0 0 0 3 < / b : _ x > < b : _ y > 7 5 < / b : _ y > < / b : P o i n t > < b : P o i n t > < b : _ x > 3 1 3 . 9 0 3 8 1 0 5 6 7 6 6 5 8 < / b : _ x > < b : _ y > 7 5 < / b : _ y > < / b : P o i n t > < / P o i n t s > < / a : V a l u e > < / a : K e y V a l u e O f D i a g r a m O b j e c t K e y a n y T y p e z b w N T n L X > < / V i e w S t a t e s > < / D i a g r a m M a n a g e r . S e r i a l i z a b l e D i a g r a m > < 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 C o l u m n s \ R o w   L a b e l s < / K e y > < / D i a g r a m O b j e c t K e y > < D i a g r a m O b j e c t K e y > < K e y > C o l u m n s \ S u m   o f   A�  2 < / K e y > < / D i a g r a m O b j e c t K e y > < D i a g r a m O b j e c t K e y > < K e y > C o l u m n s \ S u m   o f   E�2'F  ('1��1�  4/G< / K e y > < / D i a g r a m O b j e c t K e y > < D i a g r a m O b j e c t K e y > < K e y > C o l u m n s \ E'F/G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 C o l u m n s \ R o w   L a b e l s < / K e y > < / a : K e y > < a : V a l u e   i : t y p e = " M e a s u r e G r i d N o d e V i e w S t a t e " > < L a y e d O u t > t r u e < / L a y e d O u t > < / a : V a l u e > < / a : K e y V a l u e O f D i a g r a m O b j e c t K e y a n y T y p e z b w N T n L X > < a : K e y V a l u e O f D i a g r a m O b j e c t K e y a n y T y p e z b w N T n L X > < a : K e y > < K e y > C o l u m n s \ S u m   o f   A�  2 < / K e y > < / a : K e y > < a : V a l u e   i : t y p e = " M e a s u r e G r i d N o d e V i e w S t a t e " > < C o l u m n > 1 < / C o l u m n > < L a y e d O u t > t r u e < / L a y e d O u t > < / a : V a l u e > < / a : K e y V a l u e O f D i a g r a m O b j e c t K e y a n y T y p e z b w N T n L X > < a : K e y V a l u e O f D i a g r a m O b j e c t K e y a n y T y p e z b w N T n L X > < a : K e y > < K e y > C o l u m n s \ S u m   o f   E�2'F  ('1��1�  4/G< / K e y > < / a : K e y > < a : V a l u e   i : t y p e = " M e a s u r e G r i d N o d e V i e w S t a t e " > < C o l u m n > 2 < / C o l u m n > < L a y e d O u t > t r u e < / L a y e d O u t > < / a : V a l u e > < / a : K e y V a l u e O f D i a g r a m O b j e c t K e y a n y T y p e z b w N T n L X > < a : K e y V a l u e O f D i a g r a m O b j e c t K e y a n y T y p e z b w N T n L X > < a : K e y > < K e y > C o l u m n s \ E'F/G< / K e y > < / a : K e y > < a : V a l u e   i : t y p e = " M e a s u r e G r i d N o d e V i e w S t a t e " > < C o l u m n > 3 < / C o l u m n > < L a y e d O u t > t r u e < / L a y e d O u t > < / a : V a l u e > < / a : K e y V a l u e O f D i a g r a m O b j e c t K e y a n y T y p e z b w N T n L X > < / V i e w S t a t e s > < / D i a g r a m M a n a g e r . S e r i a l i z a b l e D i a g r a m > < D i a g r a m M a n a g e r . S e r i a l i z a b l e D i a g r a m > < A d a p t e r   i : t y p e = " M e a s u r e D i a g r a m S a n d b o x A d a p t e r " > < T a b l e N a m e > i n v o i c e 2 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 E�2'F  3A'14  2 < / K e y > < / D i a g r a m O b j e c t K e y > < D i a g r a m O b j e c t K e y > < K e y > M e a s u r e s \ S u m   o f   E�2'F  3A'14  2 \ T a g I n f o \ F o r m u l a < / K e y > < / D i a g r a m O b j e c t K e y > < D i a g r a m O b j e c t K e y > < K e y > M e a s u r e s \ S u m   o f   E�2'F  3A'14  2 \ T a g I n f o \ V a l u e < / K e y > < / D i a g r a m O b j e c t K e y > < D i a g r a m O b j e c t K e y > < K e y > M e a s u r e s \ C o u n t   o f   4E'1G  ~�4  A'�*H1  3 < / K e y > < / D i a g r a m O b j e c t K e y > < D i a g r a m O b j e c t K e y > < K e y > M e a s u r e s \ C o u n t   o f   4E'1G  ~�4  A'�*H1  3 \ T a g I n f o \ F o r m u l a < / K e y > < / D i a g r a m O b j e c t K e y > < D i a g r a m O b j e c t K e y > < K e y > M e a s u r e s \ C o u n t   o f   4E'1G  ~�4  A'�*H1  3 \ T a g I n f o \ V a l u e < / K e y > < / D i a g r a m O b j e c t K e y > < D i a g r a m O b j e c t K e y > < K e y > M e a s u r e s \ S u m   o f   A�  3 < / K e y > < / D i a g r a m O b j e c t K e y > < D i a g r a m O b j e c t K e y > < K e y > M e a s u r e s \ S u m   o f   A�  3 \ T a g I n f o \ F o r m u l a < / K e y > < / D i a g r a m O b j e c t K e y > < D i a g r a m O b j e c t K e y > < K e y > M e a s u r e s \ S u m   o f   A�  3 \ T a g I n f o \ V a l u e < / K e y > < / D i a g r a m O b j e c t K e y > < D i a g r a m O b j e c t K e y > < K e y > M e a s u r e s \ A v e r a g e   o f   A�  3 < / K e y > < / D i a g r a m O b j e c t K e y > < D i a g r a m O b j e c t K e y > < K e y > M e a s u r e s \ A v e r a g e   o f   A�  3 \ T a g I n f o \ F o r m u l a < / K e y > < / D i a g r a m O b j e c t K e y > < D i a g r a m O b j e c t K e y > < K e y > M e a s u r e s \ A v e r a g e   o f   A�  3 \ T a g I n f o \ V a l u e < / K e y > < / D i a g r a m O b j e c t K e y > < D i a g r a m O b j e c t K e y > < K e y > C o l u m n s \ 4E'1G  ~�4  A'�*H1< / K e y > < / D i a g r a m O b j e c t K e y > < D i a g r a m O b j e c t K e y > < K e y > C o l u m n s \ F'E  E4*1�< / K e y > < / D i a g r a m O b j e c t K e y > < D i a g r a m O b j e c t K e y > < K e y > C o l u m n s \ *'1�.< / K e y > < / D i a g r a m O b j e c t K e y > < D i a g r a m O b j e c t K e y > < K e y > C o l u m n s \ *'1�.  E,H2  (G1G  (1/'1�< / K e y > < / D i a g r a m O b j e c t K e y > < D i a g r a m O b j e c t K e y > < K e y > C o l u m n s \ E�2'F  3A'14< / K e y > < / D i a g r a m O b j e c t K e y > < D i a g r a m O b j e c t K e y > < K e y > C o l u m n s \ A�< / K e y > < / D i a g r a m O b j e c t K e y > < D i a g r a m O b j e c t K e y > < K e y > C o l u m n s \ -ED  4/G< / K e y > < / D i a g r a m O b j e c t K e y > < D i a g r a m O b j e c t K e y > < K e y > C o l u m n s \ E'F/G< / K e y > < / D i a g r a m O b j e c t K e y > < D i a g r a m O b j e c t K e y > < K e y > C o l u m n s \ FH9< / K e y > < / D i a g r a m O b j e c t K e y > < D i a g r a m O b j e c t K e y > < K e y > C o l u m n s \ 44  E'GG  'HD< / K e y > < / D i a g r a m O b j e c t K e y > < D i a g r a m O b j e c t K e y > < K e y > C o l u m n s \ *H2�9  GA*��< / K e y > < / D i a g r a m O b j e c t K e y > < D i a g r a m O b j e c t K e y > < K e y > C o l u m n s \ 44  E'GG  /HE< / K e y > < / D i a g r a m O b j e c t K e y > < D i a g r a m O b j e c t K e y > < K e y > C o l u m n s \ *H2�9  GA*��2 < / K e y > < / D i a g r a m O b j e c t K e y > < D i a g r a m O b j e c t K e y > < K e y > C o l u m n s \ *H6�-'*< / K e y > < / D i a g r a m O b j e c t K e y > < D i a g r a m O b j e c t K e y > < K e y > L i n k s \ & l t ; C o l u m n s \ S u m   o f   E�2'F  3A'14  2 & g t ; - & l t ; M e a s u r e s \ E�2'F  3A'14& g t ; < / K e y > < / D i a g r a m O b j e c t K e y > < D i a g r a m O b j e c t K e y > < K e y > L i n k s \ & l t ; C o l u m n s \ S u m   o f   E�2'F  3A'14  2 & g t ; - & l t ; M e a s u r e s \ E�2'F  3A'14& g t ; \ C O L U M N < / K e y > < / D i a g r a m O b j e c t K e y > < D i a g r a m O b j e c t K e y > < K e y > L i n k s \ & l t ; C o l u m n s \ S u m   o f   E�2'F  3A'14  2 & g t ; - & l t ; M e a s u r e s \ E�2'F  3A'14& g t ; \ M E A S U R E < / K e y > < / D i a g r a m O b j e c t K e y > < D i a g r a m O b j e c t K e y > < K e y > L i n k s \ & l t ; C o l u m n s \ C o u n t   o f   4E'1G  ~�4  A'�*H1  3 & g t ; - & l t ; M e a s u r e s \ 4E'1G  ~�4  A'�*H1& g t ; < / K e y > < / D i a g r a m O b j e c t K e y > < D i a g r a m O b j e c t K e y > < K e y > L i n k s \ & l t ; C o l u m n s \ C o u n t   o f   4E'1G  ~�4  A'�*H1  3 & g t ; - & l t ; M e a s u r e s \ 4E'1G  ~�4  A'�*H1& g t ; \ C O L U M N < / K e y > < / D i a g r a m O b j e c t K e y > < D i a g r a m O b j e c t K e y > < K e y > L i n k s \ & l t ; C o l u m n s \ C o u n t   o f   4E'1G  ~�4  A'�*H1  3 & g t ; - & l t ; M e a s u r e s \ 4E'1G  ~�4  A'�*H1& g t ; \ M E A S U R E < / K e y > < / D i a g r a m O b j e c t K e y > < D i a g r a m O b j e c t K e y > < K e y > L i n k s \ & l t ; C o l u m n s \ S u m   o f   A�  3 & g t ; - & l t ; M e a s u r e s \ A�& g t ; < / K e y > < / D i a g r a m O b j e c t K e y > < D i a g r a m O b j e c t K e y > < K e y > L i n k s \ & l t ; C o l u m n s \ S u m   o f   A�  3 & g t ; - & l t ; M e a s u r e s \ A�& g t ; \ C O L U M N < / K e y > < / D i a g r a m O b j e c t K e y > < D i a g r a m O b j e c t K e y > < K e y > L i n k s \ & l t ; C o l u m n s \ S u m   o f   A�  3 & g t ; - & l t ; M e a s u r e s \ A�& g t ; \ M E A S U R E < / K e y > < / D i a g r a m O b j e c t K e y > < D i a g r a m O b j e c t K e y > < K e y > L i n k s \ & l t ; C o l u m n s \ A v e r a g e   o f   A�  3 & g t ; - & l t ; M e a s u r e s \ A�& g t ; < / K e y > < / D i a g r a m O b j e c t K e y > < D i a g r a m O b j e c t K e y > < K e y > L i n k s \ & l t ; C o l u m n s \ A v e r a g e   o f   A�  3 & g t ; - & l t ; M e a s u r e s \ A�& g t ; \ C O L U M N < / K e y > < / D i a g r a m O b j e c t K e y > < D i a g r a m O b j e c t K e y > < K e y > L i n k s \ & l t ; C o l u m n s \ A v e r a g e   o f   A�  3 & g t ; - & l t ; M e a s u r e s \ A�& g t ; \ M E A S U R E 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 E�2'F  3A'14  2 < / K e y > < / a : K e y > < a : V a l u e   i : t y p e = " M e a s u r e G r i d N o d e V i e w S t a t e " > < C o l u m n > 4 < / C o l u m n > < L a y e d O u t > t r u e < / L a y e d O u t > < W a s U I I n v i s i b l e > t r u e < / W a s U I I n v i s i b l e > < / a : V a l u e > < / a : K e y V a l u e O f D i a g r a m O b j e c t K e y a n y T y p e z b w N T n L X > < a : K e y V a l u e O f D i a g r a m O b j e c t K e y a n y T y p e z b w N T n L X > < a : K e y > < K e y > M e a s u r e s \ S u m   o f   E�2'F  3A'14  2 \ T a g I n f o \ F o r m u l a < / K e y > < / a : K e y > < a : V a l u e   i : t y p e = " M e a s u r e G r i d V i e w S t a t e I D i a g r a m T a g A d d i t i o n a l I n f o " / > < / a : K e y V a l u e O f D i a g r a m O b j e c t K e y a n y T y p e z b w N T n L X > < a : K e y V a l u e O f D i a g r a m O b j e c t K e y a n y T y p e z b w N T n L X > < a : K e y > < K e y > M e a s u r e s \ S u m   o f   E�2'F  3A'14  2 \ T a g I n f o \ V a l u e < / K e y > < / a : K e y > < a : V a l u e   i : t y p e = " M e a s u r e G r i d V i e w S t a t e I D i a g r a m T a g A d d i t i o n a l I n f o " / > < / a : K e y V a l u e O f D i a g r a m O b j e c t K e y a n y T y p e z b w N T n L X > < a : K e y V a l u e O f D i a g r a m O b j e c t K e y a n y T y p e z b w N T n L X > < a : K e y > < K e y > M e a s u r e s \ C o u n t   o f   4E'1G  ~�4  A'�*H1  3 < / K e y > < / a : K e y > < a : V a l u e   i : t y p e = " M e a s u r e G r i d N o d e V i e w S t a t e " > < L a y e d O u t > t r u e < / L a y e d O u t > < W a s U I I n v i s i b l e > t r u e < / W a s U I I n v i s i b l e > < / a : V a l u e > < / a : K e y V a l u e O f D i a g r a m O b j e c t K e y a n y T y p e z b w N T n L X > < a : K e y V a l u e O f D i a g r a m O b j e c t K e y a n y T y p e z b w N T n L X > < a : K e y > < K e y > M e a s u r e s \ C o u n t   o f   4E'1G  ~�4  A'�*H1  3 \ T a g I n f o \ F o r m u l a < / K e y > < / a : K e y > < a : V a l u e   i : t y p e = " M e a s u r e G r i d V i e w S t a t e I D i a g r a m T a g A d d i t i o n a l I n f o " / > < / a : K e y V a l u e O f D i a g r a m O b j e c t K e y a n y T y p e z b w N T n L X > < a : K e y V a l u e O f D i a g r a m O b j e c t K e y a n y T y p e z b w N T n L X > < a : K e y > < K e y > M e a s u r e s \ C o u n t   o f   4E'1G  ~�4  A'�*H1  3 \ T a g I n f o \ V a l u e < / K e y > < / a : K e y > < a : V a l u e   i : t y p e = " M e a s u r e G r i d V i e w S t a t e I D i a g r a m T a g A d d i t i o n a l I n f o " / > < / a : K e y V a l u e O f D i a g r a m O b j e c t K e y a n y T y p e z b w N T n L X > < a : K e y V a l u e O f D i a g r a m O b j e c t K e y a n y T y p e z b w N T n L X > < a : K e y > < K e y > M e a s u r e s \ S u m   o f   A�  3 < / K e y > < / a : K e y > < a : V a l u e   i : t y p e = " M e a s u r e G r i d N o d e V i e w S t a t e " > < C o l u m n > 5 < / C o l u m n > < L a y e d O u t > t r u e < / L a y e d O u t > < W a s U I I n v i s i b l e > t r u e < / W a s U I I n v i s i b l e > < / a : V a l u e > < / a : K e y V a l u e O f D i a g r a m O b j e c t K e y a n y T y p e z b w N T n L X > < a : K e y V a l u e O f D i a g r a m O b j e c t K e y a n y T y p e z b w N T n L X > < a : K e y > < K e y > M e a s u r e s \ S u m   o f   A�  3 \ T a g I n f o \ F o r m u l a < / K e y > < / a : K e y > < a : V a l u e   i : t y p e = " M e a s u r e G r i d V i e w S t a t e I D i a g r a m T a g A d d i t i o n a l I n f o " / > < / a : K e y V a l u e O f D i a g r a m O b j e c t K e y a n y T y p e z b w N T n L X > < a : K e y V a l u e O f D i a g r a m O b j e c t K e y a n y T y p e z b w N T n L X > < a : K e y > < K e y > M e a s u r e s \ S u m   o f   A�  3 \ T a g I n f o \ V a l u e < / K e y > < / a : K e y > < a : V a l u e   i : t y p e = " M e a s u r e G r i d V i e w S t a t e I D i a g r a m T a g A d d i t i o n a l I n f o " / > < / a : K e y V a l u e O f D i a g r a m O b j e c t K e y a n y T y p e z b w N T n L X > < a : K e y V a l u e O f D i a g r a m O b j e c t K e y a n y T y p e z b w N T n L X > < a : K e y > < K e y > M e a s u r e s \ A v e r a g e   o f   A�  3 < / K e y > < / a : K e y > < a : V a l u e   i : t y p e = " M e a s u r e G r i d N o d e V i e w S t a t e " > < C o l u m n > 5 < / C o l u m n > < L a y e d O u t > t r u e < / L a y e d O u t > < R o w > 1 < / R o w > < W a s U I I n v i s i b l e > t r u e < / W a s U I I n v i s i b l e > < / a : V a l u e > < / a : K e y V a l u e O f D i a g r a m O b j e c t K e y a n y T y p e z b w N T n L X > < a : K e y V a l u e O f D i a g r a m O b j e c t K e y a n y T y p e z b w N T n L X > < a : K e y > < K e y > M e a s u r e s \ A v e r a g e   o f   A�  3 \ T a g I n f o \ F o r m u l a < / K e y > < / a : K e y > < a : V a l u e   i : t y p e = " M e a s u r e G r i d V i e w S t a t e I D i a g r a m T a g A d d i t i o n a l I n f o " / > < / a : K e y V a l u e O f D i a g r a m O b j e c t K e y a n y T y p e z b w N T n L X > < a : K e y V a l u e O f D i a g r a m O b j e c t K e y a n y T y p e z b w N T n L X > < a : K e y > < K e y > M e a s u r e s \ A v e r a g e   o f   A�  3 \ T a g I n f o \ V a l u e < / K e y > < / a : K e y > < a : V a l u e   i : t y p e = " M e a s u r e G r i d V i e w S t a t e I D i a g r a m T a g A d d i t i o n a l I n f o " / > < / a : K e y V a l u e O f D i a g r a m O b j e c t K e y a n y T y p e z b w N T n L X > < a : K e y V a l u e O f D i a g r a m O b j e c t K e y a n y T y p e z b w N T n L X > < a : K e y > < K e y > C o l u m n s \ 4E'1G  ~�4  A'�*H1< / K e y > < / a : K e y > < a : V a l u e   i : t y p e = " M e a s u r e G r i d N o d e V i e w S t a t e " > < L a y e d O u t > t r u e < / L a y e d O u t > < / a : V a l u e > < / a : K e y V a l u e O f D i a g r a m O b j e c t K e y a n y T y p e z b w N T n L X > < a : K e y V a l u e O f D i a g r a m O b j e c t K e y a n y T y p e z b w N T n L X > < a : K e y > < K e y > C o l u m n s \ F'E  E4*1�< / K e y > < / a : K e y > < a : V a l u e   i : t y p e = " M e a s u r e G r i d N o d e V i e w S t a t e " > < C o l u m n > 1 < / C o l u m n > < L a y e d O u t > t r u e < / L a y e d O u t > < / a : V a l u e > < / a : K e y V a l u e O f D i a g r a m O b j e c t K e y a n y T y p e z b w N T n L X > < a : K e y V a l u e O f D i a g r a m O b j e c t K e y a n y T y p e z b w N T n L X > < a : K e y > < K e y > C o l u m n s \ *'1�.< / K e y > < / a : K e y > < a : V a l u e   i : t y p e = " M e a s u r e G r i d N o d e V i e w S t a t e " > < C o l u m n > 2 < / C o l u m n > < L a y e d O u t > t r u e < / L a y e d O u t > < / a : V a l u e > < / a : K e y V a l u e O f D i a g r a m O b j e c t K e y a n y T y p e z b w N T n L X > < a : K e y V a l u e O f D i a g r a m O b j e c t K e y a n y T y p e z b w N T n L X > < a : K e y > < K e y > C o l u m n s \ *'1�.  E,H2  (G1G  (1/'1�< / K e y > < / a : K e y > < a : V a l u e   i : t y p e = " M e a s u r e G r i d N o d e V i e w S t a t e " > < C o l u m n > 3 < / C o l u m n > < L a y e d O u t > t r u e < / L a y e d O u t > < / a : V a l u e > < / a : K e y V a l u e O f D i a g r a m O b j e c t K e y a n y T y p e z b w N T n L X > < a : K e y V a l u e O f D i a g r a m O b j e c t K e y a n y T y p e z b w N T n L X > < a : K e y > < K e y > C o l u m n s \ E�2'F  3A'14< / K e y > < / a : K e y > < a : V a l u e   i : t y p e = " M e a s u r e G r i d N o d e V i e w S t a t e " > < C o l u m n > 4 < / C o l u m n > < L a y e d O u t > t r u e < / L a y e d O u t > < / a : V a l u e > < / a : K e y V a l u e O f D i a g r a m O b j e c t K e y a n y T y p e z b w N T n L X > < a : K e y V a l u e O f D i a g r a m O b j e c t K e y a n y T y p e z b w N T n L X > < a : K e y > < K e y > C o l u m n s \ A�< / K e y > < / a : K e y > < a : V a l u e   i : t y p e = " M e a s u r e G r i d N o d e V i e w S t a t e " > < C o l u m n > 5 < / C o l u m n > < L a y e d O u t > t r u e < / L a y e d O u t > < / a : V a l u e > < / a : K e y V a l u e O f D i a g r a m O b j e c t K e y a n y T y p e z b w N T n L X > < a : K e y V a l u e O f D i a g r a m O b j e c t K e y a n y T y p e z b w N T n L X > < a : K e y > < K e y > C o l u m n s \ -ED  4/G< / K e y > < / a : K e y > < a : V a l u e   i : t y p e = " M e a s u r e G r i d N o d e V i e w S t a t e " > < C o l u m n > 6 < / C o l u m n > < L a y e d O u t > t r u e < / L a y e d O u t > < / a : V a l u e > < / a : K e y V a l u e O f D i a g r a m O b j e c t K e y a n y T y p e z b w N T n L X > < a : K e y V a l u e O f D i a g r a m O b j e c t K e y a n y T y p e z b w N T n L X > < a : K e y > < K e y > C o l u m n s \ E'F/G< / K e y > < / a : K e y > < a : V a l u e   i : t y p e = " M e a s u r e G r i d N o d e V i e w S t a t e " > < C o l u m n > 7 < / C o l u m n > < L a y e d O u t > t r u e < / L a y e d O u t > < / a : V a l u e > < / a : K e y V a l u e O f D i a g r a m O b j e c t K e y a n y T y p e z b w N T n L X > < a : K e y V a l u e O f D i a g r a m O b j e c t K e y a n y T y p e z b w N T n L X > < a : K e y > < K e y > C o l u m n s \ FH9< / K e y > < / a : K e y > < a : V a l u e   i : t y p e = " M e a s u r e G r i d N o d e V i e w S t a t e " > < C o l u m n > 8 < / C o l u m n > < L a y e d O u t > t r u e < / L a y e d O u t > < / a : V a l u e > < / a : K e y V a l u e O f D i a g r a m O b j e c t K e y a n y T y p e z b w N T n L X > < a : K e y V a l u e O f D i a g r a m O b j e c t K e y a n y T y p e z b w N T n L X > < a : K e y > < K e y > C o l u m n s \ 44  E'GG  'HD< / K e y > < / a : K e y > < a : V a l u e   i : t y p e = " M e a s u r e G r i d N o d e V i e w S t a t e " > < C o l u m n > 9 < / C o l u m n > < L a y e d O u t > t r u e < / L a y e d O u t > < / a : V a l u e > < / a : K e y V a l u e O f D i a g r a m O b j e c t K e y a n y T y p e z b w N T n L X > < a : K e y V a l u e O f D i a g r a m O b j e c t K e y a n y T y p e z b w N T n L X > < a : K e y > < K e y > C o l u m n s \ *H2�9  GA*��< / K e y > < / a : K e y > < a : V a l u e   i : t y p e = " M e a s u r e G r i d N o d e V i e w S t a t e " > < C o l u m n > 1 0 < / C o l u m n > < L a y e d O u t > t r u e < / L a y e d O u t > < / a : V a l u e > < / a : K e y V a l u e O f D i a g r a m O b j e c t K e y a n y T y p e z b w N T n L X > < a : K e y V a l u e O f D i a g r a m O b j e c t K e y a n y T y p e z b w N T n L X > < a : K e y > < K e y > C o l u m n s \ 44  E'GG  /HE< / K e y > < / a : K e y > < a : V a l u e   i : t y p e = " M e a s u r e G r i d N o d e V i e w S t a t e " > < C o l u m n > 1 1 < / C o l u m n > < L a y e d O u t > t r u e < / L a y e d O u t > < / a : V a l u e > < / a : K e y V a l u e O f D i a g r a m O b j e c t K e y a n y T y p e z b w N T n L X > < a : K e y V a l u e O f D i a g r a m O b j e c t K e y a n y T y p e z b w N T n L X > < a : K e y > < K e y > C o l u m n s \ *H2�9  GA*��2 < / K e y > < / a : K e y > < a : V a l u e   i : t y p e = " M e a s u r e G r i d N o d e V i e w S t a t e " > < C o l u m n > 1 2 < / C o l u m n > < L a y e d O u t > t r u e < / L a y e d O u t > < / a : V a l u e > < / a : K e y V a l u e O f D i a g r a m O b j e c t K e y a n y T y p e z b w N T n L X > < a : K e y V a l u e O f D i a g r a m O b j e c t K e y a n y T y p e z b w N T n L X > < a : K e y > < K e y > C o l u m n s \ *H6�-'*< / K e y > < / a : K e y > < a : V a l u e   i : t y p e = " M e a s u r e G r i d N o d e V i e w S t a t e " > < C o l u m n > 1 3 < / C o l u m n > < L a y e d O u t > t r u e < / L a y e d O u t > < / a : V a l u e > < / a : K e y V a l u e O f D i a g r a m O b j e c t K e y a n y T y p e z b w N T n L X > < a : K e y V a l u e O f D i a g r a m O b j e c t K e y a n y T y p e z b w N T n L X > < a : K e y > < K e y > L i n k s \ & l t ; C o l u m n s \ S u m   o f   E�2'F  3A'14  2 & g t ; - & l t ; M e a s u r e s \ E�2'F  3A'14& g t ; < / K e y > < / a : K e y > < a : V a l u e   i : t y p e = " M e a s u r e G r i d V i e w S t a t e I D i a g r a m L i n k " / > < / a : K e y V a l u e O f D i a g r a m O b j e c t K e y a n y T y p e z b w N T n L X > < a : K e y V a l u e O f D i a g r a m O b j e c t K e y a n y T y p e z b w N T n L X > < a : K e y > < K e y > L i n k s \ & l t ; C o l u m n s \ S u m   o f   E�2'F  3A'14  2 & g t ; - & l t ; M e a s u r e s \ E�2'F  3A'14& g t ; \ C O L U M N < / K e y > < / a : K e y > < a : V a l u e   i : t y p e = " M e a s u r e G r i d V i e w S t a t e I D i a g r a m L i n k E n d p o i n t " / > < / a : K e y V a l u e O f D i a g r a m O b j e c t K e y a n y T y p e z b w N T n L X > < a : K e y V a l u e O f D i a g r a m O b j e c t K e y a n y T y p e z b w N T n L X > < a : K e y > < K e y > L i n k s \ & l t ; C o l u m n s \ S u m   o f   E�2'F  3A'14  2 & g t ; - & l t ; M e a s u r e s \ E�2'F  3A'14& g t ; \ M E A S U R E < / K e y > < / a : K e y > < a : V a l u e   i : t y p e = " M e a s u r e G r i d V i e w S t a t e I D i a g r a m L i n k E n d p o i n t " / > < / a : K e y V a l u e O f D i a g r a m O b j e c t K e y a n y T y p e z b w N T n L X > < a : K e y V a l u e O f D i a g r a m O b j e c t K e y a n y T y p e z b w N T n L X > < a : K e y > < K e y > L i n k s \ & l t ; C o l u m n s \ C o u n t   o f   4E'1G  ~�4  A'�*H1  3 & g t ; - & l t ; M e a s u r e s \ 4E'1G  ~�4  A'�*H1& g t ; < / K e y > < / a : K e y > < a : V a l u e   i : t y p e = " M e a s u r e G r i d V i e w S t a t e I D i a g r a m L i n k " / > < / a : K e y V a l u e O f D i a g r a m O b j e c t K e y a n y T y p e z b w N T n L X > < a : K e y V a l u e O f D i a g r a m O b j e c t K e y a n y T y p e z b w N T n L X > < a : K e y > < K e y > L i n k s \ & l t ; C o l u m n s \ C o u n t   o f   4E'1G  ~�4  A'�*H1  3 & g t ; - & l t ; M e a s u r e s \ 4E'1G  ~�4  A'�*H1& g t ; \ C O L U M N < / K e y > < / a : K e y > < a : V a l u e   i : t y p e = " M e a s u r e G r i d V i e w S t a t e I D i a g r a m L i n k E n d p o i n t " / > < / a : K e y V a l u e O f D i a g r a m O b j e c t K e y a n y T y p e z b w N T n L X > < a : K e y V a l u e O f D i a g r a m O b j e c t K e y a n y T y p e z b w N T n L X > < a : K e y > < K e y > L i n k s \ & l t ; C o l u m n s \ C o u n t   o f   4E'1G  ~�4  A'�*H1  3 & g t ; - & l t ; M e a s u r e s \ 4E'1G  ~�4  A'�*H1& g t ; \ M E A S U R E < / K e y > < / a : K e y > < a : V a l u e   i : t y p e = " M e a s u r e G r i d V i e w S t a t e I D i a g r a m L i n k E n d p o i n t " / > < / a : K e y V a l u e O f D i a g r a m O b j e c t K e y a n y T y p e z b w N T n L X > < a : K e y V a l u e O f D i a g r a m O b j e c t K e y a n y T y p e z b w N T n L X > < a : K e y > < K e y > L i n k s \ & l t ; C o l u m n s \ S u m   o f   A�  3 & g t ; - & l t ; M e a s u r e s \ A�& g t ; < / K e y > < / a : K e y > < a : V a l u e   i : t y p e = " M e a s u r e G r i d V i e w S t a t e I D i a g r a m L i n k " / > < / a : K e y V a l u e O f D i a g r a m O b j e c t K e y a n y T y p e z b w N T n L X > < a : K e y V a l u e O f D i a g r a m O b j e c t K e y a n y T y p e z b w N T n L X > < a : K e y > < K e y > L i n k s \ & l t ; C o l u m n s \ S u m   o f   A�  3 & g t ; - & l t ; M e a s u r e s \ A�& g t ; \ C O L U M N < / K e y > < / a : K e y > < a : V a l u e   i : t y p e = " M e a s u r e G r i d V i e w S t a t e I D i a g r a m L i n k E n d p o i n t " / > < / a : K e y V a l u e O f D i a g r a m O b j e c t K e y a n y T y p e z b w N T n L X > < a : K e y V a l u e O f D i a g r a m O b j e c t K e y a n y T y p e z b w N T n L X > < a : K e y > < K e y > L i n k s \ & l t ; C o l u m n s \ S u m   o f   A�  3 & g t ; - & l t ; M e a s u r e s \ A�& g t ; \ M E A S U R E < / K e y > < / a : K e y > < a : V a l u e   i : t y p e = " M e a s u r e G r i d V i e w S t a t e I D i a g r a m L i n k E n d p o i n t " / > < / a : K e y V a l u e O f D i a g r a m O b j e c t K e y a n y T y p e z b w N T n L X > < a : K e y V a l u e O f D i a g r a m O b j e c t K e y a n y T y p e z b w N T n L X > < a : K e y > < K e y > L i n k s \ & l t ; C o l u m n s \ A v e r a g e   o f   A�  3 & g t ; - & l t ; M e a s u r e s \ A�& g t ; < / K e y > < / a : K e y > < a : V a l u e   i : t y p e = " M e a s u r e G r i d V i e w S t a t e I D i a g r a m L i n k " / > < / a : K e y V a l u e O f D i a g r a m O b j e c t K e y a n y T y p e z b w N T n L X > < a : K e y V a l u e O f D i a g r a m O b j e c t K e y a n y T y p e z b w N T n L X > < a : K e y > < K e y > L i n k s \ & l t ; C o l u m n s \ A v e r a g e   o f   A�  3 & g t ; - & l t ; M e a s u r e s \ A�& g t ; \ C O L U M N < / K e y > < / a : K e y > < a : V a l u e   i : t y p e = " M e a s u r e G r i d V i e w S t a t e I D i a g r a m L i n k E n d p o i n t " / > < / a : K e y V a l u e O f D i a g r a m O b j e c t K e y a n y T y p e z b w N T n L X > < a : K e y V a l u e O f D i a g r a m O b j e c t K e y a n y T y p e z b w N T n L X > < a : K e y > < K e y > L i n k s \ & l t ; C o l u m n s \ A v e r a g e   o f   A�  3 & g t ; - & l t ; M e a s u r e s \ A�& g t ; \ M E A S U R E < / K e y > < / a : K e y > < a : V a l u e   i : t y p e = " M e a s u r e G r i d V i e w S t a t e I D i a g r a m L i n k E n d p o i n t " / > < / a : K e y V a l u e O f D i a g r a m O b j e c t K e y a n y T y p e z b w N T n L X > < / V i e w S t a t e s > < / D i a g r a m M a n a g e r . S e r i a l i z a b l e D i a g r a m > < D i a g r a m M a n a g e r . S e r i a l i z a b l e D i a g r a m > < A d a p t e r   i : t y p e = " M e a s u r e D i a g r a m S a n d b o x A d a p t e r " > < T a b l e N a m e > b a r g i r i 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 b a r g i r i 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 E�2'F  ('1��1�  4/G< / K e y > < / D i a g r a m O b j e c t K e y > < D i a g r a m O b j e c t K e y > < K e y > M e a s u r e s \ S u m   o f   E�2'F  ('1��1�  4/G\ T a g I n f o \ F o r m u l a < / K e y > < / D i a g r a m O b j e c t K e y > < D i a g r a m O b j e c t K e y > < K e y > M e a s u r e s \ S u m   o f   E�2'F  ('1��1�  4/G\ T a g I n f o \ V a l u e < / K e y > < / D i a g r a m O b j e c t K e y > < D i a g r a m O b j e c t K e y > < K e y > M e a s u r e s \ S u m   o f   A�< / K e y > < / D i a g r a m O b j e c t K e y > < D i a g r a m O b j e c t K e y > < K e y > M e a s u r e s \ S u m   o f   A�\ T a g I n f o \ F o r m u l a < / K e y > < / D i a g r a m O b j e c t K e y > < D i a g r a m O b j e c t K e y > < K e y > M e a s u r e s \ S u m   o f   A�\ T a g I n f o \ V a l u e < / K e y > < / D i a g r a m O b j e c t K e y > < D i a g r a m O b j e c t K e y > < K e y > M e a s u r e s \ A v e r a g e   o f   A�  2 < / K e y > < / D i a g r a m O b j e c t K e y > < D i a g r a m O b j e c t K e y > < K e y > M e a s u r e s \ A v e r a g e   o f   A�  2 \ T a g I n f o \ F o r m u l a < / K e y > < / D i a g r a m O b j e c t K e y > < D i a g r a m O b j e c t K e y > < K e y > M e a s u r e s \ A v e r a g e   o f   A�  2 \ T a g I n f o \ V a l u e < / K e y > < / D i a g r a m O b j e c t K e y > < D i a g r a m O b j e c t K e y > < K e y > M e a s u r e s \ C o u n t   o f   4E'1G  ~�4  A'�*H1< / K e y > < / D i a g r a m O b j e c t K e y > < D i a g r a m O b j e c t K e y > < K e y > M e a s u r e s \ C o u n t   o f   4E'1G  ~�4  A'�*H1\ T a g I n f o \ F o r m u l a < / K e y > < / D i a g r a m O b j e c t K e y > < D i a g r a m O b j e c t K e y > < K e y > M e a s u r e s \ C o u n t   o f   4E'1G  ~�4  A'�*H1\ T a g I n f o \ V a l u e < / K e y > < / D i a g r a m O b j e c t K e y > < D i a g r a m O b j e c t K e y > < K e y > M e a s u r e s \ D i s t i n c t   C o u n t   o f   4E'1G  ~�4  A'�*H1< / K e y > < / D i a g r a m O b j e c t K e y > < D i a g r a m O b j e c t K e y > < K e y > M e a s u r e s \ D i s t i n c t   C o u n t   o f   4E'1G  ~�4  A'�*H1\ T a g I n f o \ F o r m u l a < / K e y > < / D i a g r a m O b j e c t K e y > < D i a g r a m O b j e c t K e y > < K e y > M e a s u r e s \ D i s t i n c t   C o u n t   o f   4E'1G  ~�4  A'�*H1\ T a g I n f o \ V a l u e < / K e y > < / D i a g r a m O b j e c t K e y > < D i a g r a m O b j e c t K e y > < K e y > M e a s u r e s \ C o u n t   o f   *'1�.  ('1��1�< / K e y > < / D i a g r a m O b j e c t K e y > < D i a g r a m O b j e c t K e y > < K e y > M e a s u r e s \ C o u n t   o f   *'1�.  ('1��1�\ T a g I n f o \ F o r m u l a < / K e y > < / D i a g r a m O b j e c t K e y > < D i a g r a m O b j e c t K e y > < K e y > M e a s u r e s \ C o u n t   o f   *'1�.  ('1��1�\ T a g I n f o \ V a l u e < / K e y > < / D i a g r a m O b j e c t K e y > < D i a g r a m O b j e c t K e y > < K e y > M e a s u r e s \ C o u n t   o f   F'E  E4*1�< / K e y > < / D i a g r a m O b j e c t K e y > < D i a g r a m O b j e c t K e y > < K e y > M e a s u r e s \ C o u n t   o f   F'E  E4*1�\ T a g I n f o \ F o r m u l a < / K e y > < / D i a g r a m O b j e c t K e y > < D i a g r a m O b j e c t K e y > < K e y > M e a s u r e s \ C o u n t   o f   F'E  E4*1�\ T a g I n f o \ V a l u e < / K e y > < / D i a g r a m O b j e c t K e y > < D i a g r a m O b j e c t K e y > < K e y > M e a s u r e s \ D i s t i n c t   C o u n t   o f   F'E  E4*1�< / K e y > < / D i a g r a m O b j e c t K e y > < D i a g r a m O b j e c t K e y > < K e y > M e a s u r e s \ D i s t i n c t   C o u n t   o f   F'E  E4*1�\ T a g I n f o \ F o r m u l a < / K e y > < / D i a g r a m O b j e c t K e y > < D i a g r a m O b j e c t K e y > < K e y > M e a s u r e s \ D i s t i n c t   C o u n t   o f   F'E  E4*1�\ T a g I n f o \ V a l u e < / K e y > < / D i a g r a m O b j e c t K e y > < D i a g r a m O b j e c t K e y > < K e y > M e a s u r e s \ D i s t i n c t   C o u n t   o f   *'1�.  ('1��1�< / K e y > < / D i a g r a m O b j e c t K e y > < D i a g r a m O b j e c t K e y > < K e y > M e a s u r e s \ D i s t i n c t   C o u n t   o f   *'1�.  ('1��1�\ T a g I n f o \ F o r m u l a < / K e y > < / D i a g r a m O b j e c t K e y > < D i a g r a m O b j e c t K e y > < K e y > M e a s u r e s \ D i s t i n c t   C o u n t   o f   *'1�.  ('1��1�\ T a g I n f o \ V a l u e < / K e y > < / D i a g r a m O b j e c t K e y > < D i a g r a m O b j e c t K e y > < K e y > M e a s u r e s \ A v e r a g e   o f   E�2'F  ('1��1�  4/G< / K e y > < / D i a g r a m O b j e c t K e y > < D i a g r a m O b j e c t K e y > < K e y > M e a s u r e s \ A v e r a g e   o f   E�2'F  ('1��1�  4/G\ T a g I n f o \ F o r m u l a < / K e y > < / D i a g r a m O b j e c t K e y > < D i a g r a m O b j e c t K e y > < K e y > M e a s u r e s \ A v e r a g e   o f   E�2'F  ('1��1�  4/G\ T a g I n f o \ V a l u e < / K e y > < / D i a g r a m O b j e c t K e y > < D i a g r a m O b j e c t K e y > < K e y > M e a s u r e s \ S t d D e v   o f   E�2'F  ('1��1�  4/G< / K e y > < / D i a g r a m O b j e c t K e y > < D i a g r a m O b j e c t K e y > < K e y > M e a s u r e s \ S t d D e v   o f   E�2'F  ('1��1�  4/G\ T a g I n f o \ F o r m u l a < / K e y > < / D i a g r a m O b j e c t K e y > < D i a g r a m O b j e c t K e y > < K e y > M e a s u r e s \ S t d D e v   o f   E�2'F  ('1��1�  4/G\ T a g I n f o \ V a l u e < / K e y > < / D i a g r a m O b j e c t K e y > < D i a g r a m O b j e c t K e y > < K e y > M e a s u r e s \ S u m   o f   3'D< / K e y > < / D i a g r a m O b j e c t K e y > < D i a g r a m O b j e c t K e y > < K e y > M e a s u r e s \ S u m   o f   3'D\ T a g I n f o \ F o r m u l a < / K e y > < / D i a g r a m O b j e c t K e y > < D i a g r a m O b j e c t K e y > < K e y > M e a s u r e s \ S u m   o f   3'D\ T a g I n f o \ V a l u e < / K e y > < / D i a g r a m O b j e c t K e y > < D i a g r a m O b j e c t K e y > < K e y > M e a s u r e s \ m a x y e a r l o a d i n g < / K e y > < / D i a g r a m O b j e c t K e y > < D i a g r a m O b j e c t K e y > < K e y > M e a s u r e s \ m a x y e a r l o a d i n g \ T a g I n f o \ F o r m u l a < / K e y > < / D i a g r a m O b j e c t K e y > < D i a g r a m O b j e c t K e y > < K e y > M e a s u r e s \ m a x y e a r l o a d i n g \ T a g I n f o \ V a l u e < / K e y > < / D i a g r a m O b j e c t K e y > < D i a g r a m O b j e c t K e y > < K e y > C o l u m n s \ *'1�.  ('1��1�< / K e y > < / D i a g r a m O b j e c t K e y > < D i a g r a m O b j e c t K e y > < K e y > C o l u m n s \ F'E  E4*1�< / K e y > < / D i a g r a m O b j e c t K e y > < D i a g r a m O b j e c t K e y > < K e y > C o l u m n s \ 4E'1G  ~�4  A'�*H1< / K e y > < / D i a g r a m O b j e c t K e y > < D i a g r a m O b j e c t K e y > < K e y > C o l u m n s \ E�2'F  ('1��1�  4/G< / K e y > < / D i a g r a m O b j e c t K e y > < D i a g r a m O b j e c t K e y > < K e y > C o l u m n s \ A�< / K e y > < / D i a g r a m O b j e c t K e y > < D i a g r a m O b j e c t K e y > < K e y > C o l u m n s \ 3'D< / K e y > < / D i a g r a m O b j e c t K e y > < D i a g r a m O b j e c t K e y > < K e y > C o l u m n s \ E'G< / K e y > < / D i a g r a m O b j e c t K e y > < D i a g r a m O b j e c t K e y > < K e y > C o l u m n s \ B�E*  �D  ('1< / K e y > < / D i a g r a m O b j e c t K e y > < D i a g r a m O b j e c t K e y > < K e y > C o l u m n s \ �E��2 < / K e y > < / D i a g r a m O b j e c t K e y > < D i a g r a m O b j e c t K e y > < K e y > C o l u m n s \ L o a d i n g A f t e r 1 4 0 3 _ C o l u m n < / K e y > < / D i a g r a m O b j e c t K e y > < D i a g r a m O b j e c t K e y > < K e y > L i n k s \ & l t ; C o l u m n s \ S u m   o f   E�2'F  ('1��1�  4/G& g t ; - & l t ; M e a s u r e s \ E�2'F  ('1��1�  4/G& g t ; < / K e y > < / D i a g r a m O b j e c t K e y > < D i a g r a m O b j e c t K e y > < K e y > L i n k s \ & l t ; C o l u m n s \ S u m   o f   E�2'F  ('1��1�  4/G& g t ; - & l t ; M e a s u r e s \ E�2'F  ('1��1�  4/G& g t ; \ C O L U M N < / K e y > < / D i a g r a m O b j e c t K e y > < D i a g r a m O b j e c t K e y > < K e y > L i n k s \ & l t ; C o l u m n s \ S u m   o f   E�2'F  ('1��1�  4/G& g t ; - & l t ; M e a s u r e s \ E�2'F  ('1��1�  4/G& g t ; \ M E A S U R E < / K e y > < / D i a g r a m O b j e c t K e y > < D i a g r a m O b j e c t K e y > < K e y > L i n k s \ & l t ; C o l u m n s \ S u m   o f   A�& g t ; - & l t ; M e a s u r e s \ A�& g t ; < / K e y > < / D i a g r a m O b j e c t K e y > < D i a g r a m O b j e c t K e y > < K e y > L i n k s \ & l t ; C o l u m n s \ S u m   o f   A�& g t ; - & l t ; M e a s u r e s \ A�& g t ; \ C O L U M N < / K e y > < / D i a g r a m O b j e c t K e y > < D i a g r a m O b j e c t K e y > < K e y > L i n k s \ & l t ; C o l u m n s \ S u m   o f   A�& g t ; - & l t ; M e a s u r e s \ A�& g t ; \ M E A S U R E < / K e y > < / D i a g r a m O b j e c t K e y > < D i a g r a m O b j e c t K e y > < K e y > L i n k s \ & l t ; C o l u m n s \ A v e r a g e   o f   A�  2 & g t ; - & l t ; M e a s u r e s \ A�& g t ; < / K e y > < / D i a g r a m O b j e c t K e y > < D i a g r a m O b j e c t K e y > < K e y > L i n k s \ & l t ; C o l u m n s \ A v e r a g e   o f   A�  2 & g t ; - & l t ; M e a s u r e s \ A�& g t ; \ C O L U M N < / K e y > < / D i a g r a m O b j e c t K e y > < D i a g r a m O b j e c t K e y > < K e y > L i n k s \ & l t ; C o l u m n s \ A v e r a g e   o f   A�  2 & g t ; - & l t ; M e a s u r e s \ A�& g t ; \ M E A S U R E < / K e y > < / D i a g r a m O b j e c t K e y > < D i a g r a m O b j e c t K e y > < K e y > L i n k s \ & l t ; C o l u m n s \ C o u n t   o f   4E'1G  ~�4  A'�*H1& g t ; - & l t ; M e a s u r e s \ 4E'1G  ~�4  A'�*H1& g t ; < / K e y > < / D i a g r a m O b j e c t K e y > < D i a g r a m O b j e c t K e y > < K e y > L i n k s \ & l t ; C o l u m n s \ C o u n t   o f   4E'1G  ~�4  A'�*H1& g t ; - & l t ; M e a s u r e s \ 4E'1G  ~�4  A'�*H1& g t ; \ C O L U M N < / K e y > < / D i a g r a m O b j e c t K e y > < D i a g r a m O b j e c t K e y > < K e y > L i n k s \ & l t ; C o l u m n s \ C o u n t   o f   4E'1G  ~�4  A'�*H1& g t ; - & l t ; M e a s u r e s \ 4E'1G  ~�4  A'�*H1& g t ; \ M E A S U R E < / K e y > < / D i a g r a m O b j e c t K e y > < D i a g r a m O b j e c t K e y > < K e y > L i n k s \ & l t ; C o l u m n s \ D i s t i n c t   C o u n t   o f   4E'1G  ~�4  A'�*H1& g t ; - & l t ; M e a s u r e s \ 4E'1G  ~�4  A'�*H1& g t ; < / K e y > < / D i a g r a m O b j e c t K e y > < D i a g r a m O b j e c t K e y > < K e y > L i n k s \ & l t ; C o l u m n s \ D i s t i n c t   C o u n t   o f   4E'1G  ~�4  A'�*H1& g t ; - & l t ; M e a s u r e s \ 4E'1G  ~�4  A'�*H1& g t ; \ C O L U M N < / K e y > < / D i a g r a m O b j e c t K e y > < D i a g r a m O b j e c t K e y > < K e y > L i n k s \ & l t ; C o l u m n s \ D i s t i n c t   C o u n t   o f   4E'1G  ~�4  A'�*H1& g t ; - & l t ; M e a s u r e s \ 4E'1G  ~�4  A'�*H1& g t ; \ M E A S U R E < / K e y > < / D i a g r a m O b j e c t K e y > < D i a g r a m O b j e c t K e y > < K e y > L i n k s \ & l t ; C o l u m n s \ C o u n t   o f   *'1�.  ('1��1�& g t ; - & l t ; M e a s u r e s \ *'1�.  ('1��1�& g t ; < / K e y > < / D i a g r a m O b j e c t K e y > < D i a g r a m O b j e c t K e y > < K e y > L i n k s \ & l t ; C o l u m n s \ C o u n t   o f   *'1�.  ('1��1�& g t ; - & l t ; M e a s u r e s \ *'1�.  ('1��1�& g t ; \ C O L U M N < / K e y > < / D i a g r a m O b j e c t K e y > < D i a g r a m O b j e c t K e y > < K e y > L i n k s \ & l t ; C o l u m n s \ C o u n t   o f   *'1�.  ('1��1�& g t ; - & l t ; M e a s u r e s \ *'1�.  ('1��1�& g t ; \ M E A S U R E < / K e y > < / D i a g r a m O b j e c t K e y > < D i a g r a m O b j e c t K e y > < K e y > L i n k s \ & l t ; C o l u m n s \ C o u n t   o f   F'E  E4*1�& g t ; - & l t ; M e a s u r e s \ F'E  E4*1�& g t ; < / K e y > < / D i a g r a m O b j e c t K e y > < D i a g r a m O b j e c t K e y > < K e y > L i n k s \ & l t ; C o l u m n s \ C o u n t   o f   F'E  E4*1�& g t ; - & l t ; M e a s u r e s \ F'E  E4*1�& g t ; \ C O L U M N < / K e y > < / D i a g r a m O b j e c t K e y > < D i a g r a m O b j e c t K e y > < K e y > L i n k s \ & l t ; C o l u m n s \ C o u n t   o f   F'E  E4*1�& g t ; - & l t ; M e a s u r e s \ F'E  E4*1�& g t ; \ M E A S U R E < / K e y > < / D i a g r a m O b j e c t K e y > < D i a g r a m O b j e c t K e y > < K e y > L i n k s \ & l t ; C o l u m n s \ D i s t i n c t   C o u n t   o f   F'E  E4*1�& g t ; - & l t ; M e a s u r e s \ F'E  E4*1�& g t ; < / K e y > < / D i a g r a m O b j e c t K e y > < D i a g r a m O b j e c t K e y > < K e y > L i n k s \ & l t ; C o l u m n s \ D i s t i n c t   C o u n t   o f   F'E  E4*1�& g t ; - & l t ; M e a s u r e s \ F'E  E4*1�& g t ; \ C O L U M N < / K e y > < / D i a g r a m O b j e c t K e y > < D i a g r a m O b j e c t K e y > < K e y > L i n k s \ & l t ; C o l u m n s \ D i s t i n c t   C o u n t   o f   F'E  E4*1�& g t ; - & l t ; M e a s u r e s \ F'E  E4*1�& g t ; \ M E A S U R E < / K e y > < / D i a g r a m O b j e c t K e y > < D i a g r a m O b j e c t K e y > < K e y > L i n k s \ & l t ; C o l u m n s \ D i s t i n c t   C o u n t   o f   *'1�.  ('1��1�& g t ; - & l t ; M e a s u r e s \ *'1�.  ('1��1�& g t ; < / K e y > < / D i a g r a m O b j e c t K e y > < D i a g r a m O b j e c t K e y > < K e y > L i n k s \ & l t ; C o l u m n s \ D i s t i n c t   C o u n t   o f   *'1�.  ('1��1�& g t ; - & l t ; M e a s u r e s \ *'1�.  ('1��1�& g t ; \ C O L U M N < / K e y > < / D i a g r a m O b j e c t K e y > < D i a g r a m O b j e c t K e y > < K e y > L i n k s \ & l t ; C o l u m n s \ D i s t i n c t   C o u n t   o f   *'1�.  ('1��1�& g t ; - & l t ; M e a s u r e s \ *'1�.  ('1��1�& g t ; \ M E A S U R E < / K e y > < / D i a g r a m O b j e c t K e y > < D i a g r a m O b j e c t K e y > < K e y > L i n k s \ & l t ; C o l u m n s \ A v e r a g e   o f   E�2'F  ('1��1�  4/G& g t ; - & l t ; M e a s u r e s \ E�2'F  ('1��1�  4/G& g t ; < / K e y > < / D i a g r a m O b j e c t K e y > < D i a g r a m O b j e c t K e y > < K e y > L i n k s \ & l t ; C o l u m n s \ A v e r a g e   o f   E�2'F  ('1��1�  4/G& g t ; - & l t ; M e a s u r e s \ E�2'F  ('1��1�  4/G& g t ; \ C O L U M N < / K e y > < / D i a g r a m O b j e c t K e y > < D i a g r a m O b j e c t K e y > < K e y > L i n k s \ & l t ; C o l u m n s \ A v e r a g e   o f   E�2'F  ('1��1�  4/G& g t ; - & l t ; M e a s u r e s \ E�2'F  ('1��1�  4/G& g t ; \ M E A S U R E < / K e y > < / D i a g r a m O b j e c t K e y > < D i a g r a m O b j e c t K e y > < K e y > L i n k s \ & l t ; C o l u m n s \ S t d D e v   o f   E�2'F  ('1��1�  4/G& g t ; - & l t ; M e a s u r e s \ E�2'F  ('1��1�  4/G& g t ; < / K e y > < / D i a g r a m O b j e c t K e y > < D i a g r a m O b j e c t K e y > < K e y > L i n k s \ & l t ; C o l u m n s \ S t d D e v   o f   E�2'F  ('1��1�  4/G& g t ; - & l t ; M e a s u r e s \ E�2'F  ('1��1�  4/G& g t ; \ C O L U M N < / K e y > < / D i a g r a m O b j e c t K e y > < D i a g r a m O b j e c t K e y > < K e y > L i n k s \ & l t ; C o l u m n s \ S t d D e v   o f   E�2'F  ('1��1�  4/G& g t ; - & l t ; M e a s u r e s \ E�2'F  ('1��1�  4/G& g t ; \ M E A S U R E < / K e y > < / D i a g r a m O b j e c t K e y > < D i a g r a m O b j e c t K e y > < K e y > L i n k s \ & l t ; C o l u m n s \ S u m   o f   3'D& g t ; - & l t ; M e a s u r e s \ 3'D& g t ; < / K e y > < / D i a g r a m O b j e c t K e y > < D i a g r a m O b j e c t K e y > < K e y > L i n k s \ & l t ; C o l u m n s \ S u m   o f   3'D& g t ; - & l t ; M e a s u r e s \ 3'D& g t ; \ C O L U M N < / K e y > < / D i a g r a m O b j e c t K e y > < D i a g r a m O b j e c t K e y > < K e y > L i n k s \ & l t ; C o l u m n s \ S u m   o f   3'D& g t ; - & l t ; M e a s u r e s \ 3'D& g t ; \ M E A S U R E 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 E�2'F  ('1��1�  4/G< / K e y > < / a : K e y > < a : V a l u e   i : t y p e = " M e a s u r e G r i d N o d e V i e w S t a t e " > < C o l u m n > 3 < / C o l u m n > < L a y e d O u t > t r u e < / L a y e d O u t > < W a s U I I n v i s i b l e > t r u e < / W a s U I I n v i s i b l e > < / a : V a l u e > < / a : K e y V a l u e O f D i a g r a m O b j e c t K e y a n y T y p e z b w N T n L X > < a : K e y V a l u e O f D i a g r a m O b j e c t K e y a n y T y p e z b w N T n L X > < a : K e y > < K e y > M e a s u r e s \ S u m   o f   E�2'F  ('1��1�  4/G\ T a g I n f o \ F o r m u l a < / K e y > < / a : K e y > < a : V a l u e   i : t y p e = " M e a s u r e G r i d V i e w S t a t e I D i a g r a m T a g A d d i t i o n a l I n f o " / > < / a : K e y V a l u e O f D i a g r a m O b j e c t K e y a n y T y p e z b w N T n L X > < a : K e y V a l u e O f D i a g r a m O b j e c t K e y a n y T y p e z b w N T n L X > < a : K e y > < K e y > M e a s u r e s \ S u m   o f   E�2'F  ('1��1�  4/G\ T a g I n f o \ V a l u e < / K e y > < / a : K e y > < a : V a l u e   i : t y p e = " M e a s u r e G r i d V i e w S t a t e I D i a g r a m T a g A d d i t i o n a l I n f o " / > < / a : K e y V a l u e O f D i a g r a m O b j e c t K e y a n y T y p e z b w N T n L X > < a : K e y V a l u e O f D i a g r a m O b j e c t K e y a n y T y p e z b w N T n L X > < a : K e y > < K e y > M e a s u r e s \ S u m   o f   A�< / K e y > < / a : K e y > < a : V a l u e   i : t y p e = " M e a s u r e G r i d N o d e V i e w S t a t e " > < C o l u m n > 4 < / C o l u m n > < L a y e d O u t > t r u e < / L a y e d O u t > < W a s U I I n v i s i b l e > t r u e < / W a s U I I n v i s i b l e > < / a : V a l u e > < / a : K e y V a l u e O f D i a g r a m O b j e c t K e y a n y T y p e z b w N T n L X > < a : K e y V a l u e O f D i a g r a m O b j e c t K e y a n y T y p e z b w N T n L X > < a : K e y > < K e y > M e a s u r e s \ S u m   o f   A�\ T a g I n f o \ F o r m u l a < / K e y > < / a : K e y > < a : V a l u e   i : t y p e = " M e a s u r e G r i d V i e w S t a t e I D i a g r a m T a g A d d i t i o n a l I n f o " / > < / a : K e y V a l u e O f D i a g r a m O b j e c t K e y a n y T y p e z b w N T n L X > < a : K e y V a l u e O f D i a g r a m O b j e c t K e y a n y T y p e z b w N T n L X > < a : K e y > < K e y > M e a s u r e s \ S u m   o f   A�\ T a g I n f o \ V a l u e < / K e y > < / a : K e y > < a : V a l u e   i : t y p e = " M e a s u r e G r i d V i e w S t a t e I D i a g r a m T a g A d d i t i o n a l I n f o " / > < / a : K e y V a l u e O f D i a g r a m O b j e c t K e y a n y T y p e z b w N T n L X > < a : K e y V a l u e O f D i a g r a m O b j e c t K e y a n y T y p e z b w N T n L X > < a : K e y > < K e y > M e a s u r e s \ A v e r a g e   o f   A�  2 < / K e y > < / a : K e y > < a : V a l u e   i : t y p e = " M e a s u r e G r i d N o d e V i e w S t a t e " > < C o l u m n > 4 < / C o l u m n > < L a y e d O u t > t r u e < / L a y e d O u t > < W a s U I I n v i s i b l e > t r u e < / W a s U I I n v i s i b l e > < / a : V a l u e > < / a : K e y V a l u e O f D i a g r a m O b j e c t K e y a n y T y p e z b w N T n L X > < a : K e y V a l u e O f D i a g r a m O b j e c t K e y a n y T y p e z b w N T n L X > < a : K e y > < K e y > M e a s u r e s \ A v e r a g e   o f   A�  2 \ T a g I n f o \ F o r m u l a < / K e y > < / a : K e y > < a : V a l u e   i : t y p e = " M e a s u r e G r i d V i e w S t a t e I D i a g r a m T a g A d d i t i o n a l I n f o " / > < / a : K e y V a l u e O f D i a g r a m O b j e c t K e y a n y T y p e z b w N T n L X > < a : K e y V a l u e O f D i a g r a m O b j e c t K e y a n y T y p e z b w N T n L X > < a : K e y > < K e y > M e a s u r e s \ A v e r a g e   o f   A�  2 \ T a g I n f o \ V a l u e < / K e y > < / a : K e y > < a : V a l u e   i : t y p e = " M e a s u r e G r i d V i e w S t a t e I D i a g r a m T a g A d d i t i o n a l I n f o " / > < / a : K e y V a l u e O f D i a g r a m O b j e c t K e y a n y T y p e z b w N T n L X > < a : K e y V a l u e O f D i a g r a m O b j e c t K e y a n y T y p e z b w N T n L X > < a : K e y > < K e y > M e a s u r e s \ C o u n t   o f   4E'1G  ~�4  A'�*H1< / K e y > < / a : K e y > < a : V a l u e   i : t y p e = " M e a s u r e G r i d N o d e V i e w S t a t e " > < C o l u m n > 2 < / C o l u m n > < L a y e d O u t > t r u e < / L a y e d O u t > < W a s U I I n v i s i b l e > t r u e < / W a s U I I n v i s i b l e > < / a : V a l u e > < / a : K e y V a l u e O f D i a g r a m O b j e c t K e y a n y T y p e z b w N T n L X > < a : K e y V a l u e O f D i a g r a m O b j e c t K e y a n y T y p e z b w N T n L X > < a : K e y > < K e y > M e a s u r e s \ C o u n t   o f   4E'1G  ~�4  A'�*H1\ T a g I n f o \ F o r m u l a < / K e y > < / a : K e y > < a : V a l u e   i : t y p e = " M e a s u r e G r i d V i e w S t a t e I D i a g r a m T a g A d d i t i o n a l I n f o " / > < / a : K e y V a l u e O f D i a g r a m O b j e c t K e y a n y T y p e z b w N T n L X > < a : K e y V a l u e O f D i a g r a m O b j e c t K e y a n y T y p e z b w N T n L X > < a : K e y > < K e y > M e a s u r e s \ C o u n t   o f   4E'1G  ~�4  A'�*H1\ T a g I n f o \ V a l u e < / K e y > < / a : K e y > < a : V a l u e   i : t y p e = " M e a s u r e G r i d V i e w S t a t e I D i a g r a m T a g A d d i t i o n a l I n f o " / > < / a : K e y V a l u e O f D i a g r a m O b j e c t K e y a n y T y p e z b w N T n L X > < a : K e y V a l u e O f D i a g r a m O b j e c t K e y a n y T y p e z b w N T n L X > < a : K e y > < K e y > M e a s u r e s \ D i s t i n c t   C o u n t   o f   4E'1G  ~�4  A'�*H1< / K e y > < / a : K e y > < a : V a l u e   i : t y p e = " M e a s u r e G r i d N o d e V i e w S t a t e " > < C o l u m n > 2 < / C o l u m n > < L a y e d O u t > t r u e < / L a y e d O u t > < R o w > 1 < / R o w > < W a s U I I n v i s i b l e > t r u e < / W a s U I I n v i s i b l e > < / a : V a l u e > < / a : K e y V a l u e O f D i a g r a m O b j e c t K e y a n y T y p e z b w N T n L X > < a : K e y V a l u e O f D i a g r a m O b j e c t K e y a n y T y p e z b w N T n L X > < a : K e y > < K e y > M e a s u r e s \ D i s t i n c t   C o u n t   o f   4E'1G  ~�4  A'�*H1\ T a g I n f o \ F o r m u l a < / K e y > < / a : K e y > < a : V a l u e   i : t y p e = " M e a s u r e G r i d V i e w S t a t e I D i a g r a m T a g A d d i t i o n a l I n f o " / > < / a : K e y V a l u e O f D i a g r a m O b j e c t K e y a n y T y p e z b w N T n L X > < a : K e y V a l u e O f D i a g r a m O b j e c t K e y a n y T y p e z b w N T n L X > < a : K e y > < K e y > M e a s u r e s \ D i s t i n c t   C o u n t   o f   4E'1G  ~�4  A'�*H1\ T a g I n f o \ V a l u e < / K e y > < / a : K e y > < a : V a l u e   i : t y p e = " M e a s u r e G r i d V i e w S t a t e I D i a g r a m T a g A d d i t i o n a l I n f o " / > < / a : K e y V a l u e O f D i a g r a m O b j e c t K e y a n y T y p e z b w N T n L X > < a : K e y V a l u e O f D i a g r a m O b j e c t K e y a n y T y p e z b w N T n L X > < a : K e y > < K e y > M e a s u r e s \ C o u n t   o f   *'1�.  ('1��1�< / K e y > < / a : K e y > < a : V a l u e   i : t y p e = " M e a s u r e G r i d N o d e V i e w S t a t e " > < L a y e d O u t > t r u e < / L a y e d O u t > < W a s U I I n v i s i b l e > t r u e < / W a s U I I n v i s i b l e > < / a : V a l u e > < / a : K e y V a l u e O f D i a g r a m O b j e c t K e y a n y T y p e z b w N T n L X > < a : K e y V a l u e O f D i a g r a m O b j e c t K e y a n y T y p e z b w N T n L X > < a : K e y > < K e y > M e a s u r e s \ C o u n t   o f   *'1�.  ('1��1�\ T a g I n f o \ F o r m u l a < / K e y > < / a : K e y > < a : V a l u e   i : t y p e = " M e a s u r e G r i d V i e w S t a t e I D i a g r a m T a g A d d i t i o n a l I n f o " / > < / a : K e y V a l u e O f D i a g r a m O b j e c t K e y a n y T y p e z b w N T n L X > < a : K e y V a l u e O f D i a g r a m O b j e c t K e y a n y T y p e z b w N T n L X > < a : K e y > < K e y > M e a s u r e s \ C o u n t   o f   *'1�.  ('1��1�\ T a g I n f o \ V a l u e < / K e y > < / a : K e y > < a : V a l u e   i : t y p e = " M e a s u r e G r i d V i e w S t a t e I D i a g r a m T a g A d d i t i o n a l I n f o " / > < / a : K e y V a l u e O f D i a g r a m O b j e c t K e y a n y T y p e z b w N T n L X > < a : K e y V a l u e O f D i a g r a m O b j e c t K e y a n y T y p e z b w N T n L X > < a : K e y > < K e y > M e a s u r e s \ C o u n t   o f   F'E  E4*1�< / K e y > < / a : K e y > < a : V a l u e   i : t y p e = " M e a s u r e G r i d N o d e V i e w S t a t e " > < C o l u m n > 1 < / C o l u m n > < L a y e d O u t > t r u e < / L a y e d O u t > < W a s U I I n v i s i b l e > t r u e < / W a s U I I n v i s i b l e > < / a : V a l u e > < / a : K e y V a l u e O f D i a g r a m O b j e c t K e y a n y T y p e z b w N T n L X > < a : K e y V a l u e O f D i a g r a m O b j e c t K e y a n y T y p e z b w N T n L X > < a : K e y > < K e y > M e a s u r e s \ C o u n t   o f   F'E  E4*1�\ T a g I n f o \ F o r m u l a < / K e y > < / a : K e y > < a : V a l u e   i : t y p e = " M e a s u r e G r i d V i e w S t a t e I D i a g r a m T a g A d d i t i o n a l I n f o " / > < / a : K e y V a l u e O f D i a g r a m O b j e c t K e y a n y T y p e z b w N T n L X > < a : K e y V a l u e O f D i a g r a m O b j e c t K e y a n y T y p e z b w N T n L X > < a : K e y > < K e y > M e a s u r e s \ C o u n t   o f   F'E  E4*1�\ T a g I n f o \ V a l u e < / K e y > < / a : K e y > < a : V a l u e   i : t y p e = " M e a s u r e G r i d V i e w S t a t e I D i a g r a m T a g A d d i t i o n a l I n f o " / > < / a : K e y V a l u e O f D i a g r a m O b j e c t K e y a n y T y p e z b w N T n L X > < a : K e y V a l u e O f D i a g r a m O b j e c t K e y a n y T y p e z b w N T n L X > < a : K e y > < K e y > M e a s u r e s \ D i s t i n c t   C o u n t   o f   F'E  E4*1�< / K e y > < / a : K e y > < a : V a l u e   i : t y p e = " M e a s u r e G r i d N o d e V i e w S t a t e " > < C o l u m n > 1 < / C o l u m n > < L a y e d O u t > t r u e < / L a y e d O u t > < R o w > 1 < / R o w > < W a s U I I n v i s i b l e > t r u e < / W a s U I I n v i s i b l e > < / a : V a l u e > < / a : K e y V a l u e O f D i a g r a m O b j e c t K e y a n y T y p e z b w N T n L X > < a : K e y V a l u e O f D i a g r a m O b j e c t K e y a n y T y p e z b w N T n L X > < a : K e y > < K e y > M e a s u r e s \ D i s t i n c t   C o u n t   o f   F'E  E4*1�\ T a g I n f o \ F o r m u l a < / K e y > < / a : K e y > < a : V a l u e   i : t y p e = " M e a s u r e G r i d V i e w S t a t e I D i a g r a m T a g A d d i t i o n a l I n f o " / > < / a : K e y V a l u e O f D i a g r a m O b j e c t K e y a n y T y p e z b w N T n L X > < a : K e y V a l u e O f D i a g r a m O b j e c t K e y a n y T y p e z b w N T n L X > < a : K e y > < K e y > M e a s u r e s \ D i s t i n c t   C o u n t   o f   F'E  E4*1�\ T a g I n f o \ V a l u e < / K e y > < / a : K e y > < a : V a l u e   i : t y p e = " M e a s u r e G r i d V i e w S t a t e I D i a g r a m T a g A d d i t i o n a l I n f o " / > < / a : K e y V a l u e O f D i a g r a m O b j e c t K e y a n y T y p e z b w N T n L X > < a : K e y V a l u e O f D i a g r a m O b j e c t K e y a n y T y p e z b w N T n L X > < a : K e y > < K e y > M e a s u r e s \ D i s t i n c t   C o u n t   o f   *'1�.  ('1��1�< / K e y > < / a : K e y > < a : V a l u e   i : t y p e = " M e a s u r e G r i d N o d e V i e w S t a t e " > < L a y e d O u t > t r u e < / L a y e d O u t > < R o w > 1 < / R o w > < W a s U I I n v i s i b l e > t r u e < / W a s U I I n v i s i b l e > < / a : V a l u e > < / a : K e y V a l u e O f D i a g r a m O b j e c t K e y a n y T y p e z b w N T n L X > < a : K e y V a l u e O f D i a g r a m O b j e c t K e y a n y T y p e z b w N T n L X > < a : K e y > < K e y > M e a s u r e s \ D i s t i n c t   C o u n t   o f   *'1�.  ('1��1�\ T a g I n f o \ F o r m u l a < / K e y > < / a : K e y > < a : V a l u e   i : t y p e = " M e a s u r e G r i d V i e w S t a t e I D i a g r a m T a g A d d i t i o n a l I n f o " / > < / a : K e y V a l u e O f D i a g r a m O b j e c t K e y a n y T y p e z b w N T n L X > < a : K e y V a l u e O f D i a g r a m O b j e c t K e y a n y T y p e z b w N T n L X > < a : K e y > < K e y > M e a s u r e s \ D i s t i n c t   C o u n t   o f   *'1�.  ('1��1�\ T a g I n f o \ V a l u e < / K e y > < / a : K e y > < a : V a l u e   i : t y p e = " M e a s u r e G r i d V i e w S t a t e I D i a g r a m T a g A d d i t i o n a l I n f o " / > < / a : K e y V a l u e O f D i a g r a m O b j e c t K e y a n y T y p e z b w N T n L X > < a : K e y V a l u e O f D i a g r a m O b j e c t K e y a n y T y p e z b w N T n L X > < a : K e y > < K e y > M e a s u r e s \ A v e r a g e   o f   E�2'F  ('1��1�  4/G< / K e y > < / a : K e y > < a : V a l u e   i : t y p e = " M e a s u r e G r i d N o d e V i e w S t a t e " > < C o l u m n > 3 < / C o l u m n > < L a y e d O u t > t r u e < / L a y e d O u t > < W a s U I I n v i s i b l e > t r u e < / W a s U I I n v i s i b l e > < / a : V a l u e > < / a : K e y V a l u e O f D i a g r a m O b j e c t K e y a n y T y p e z b w N T n L X > < a : K e y V a l u e O f D i a g r a m O b j e c t K e y a n y T y p e z b w N T n L X > < a : K e y > < K e y > M e a s u r e s \ A v e r a g e   o f   E�2'F  ('1��1�  4/G\ T a g I n f o \ F o r m u l a < / K e y > < / a : K e y > < a : V a l u e   i : t y p e = " M e a s u r e G r i d V i e w S t a t e I D i a g r a m T a g A d d i t i o n a l I n f o " / > < / a : K e y V a l u e O f D i a g r a m O b j e c t K e y a n y T y p e z b w N T n L X > < a : K e y V a l u e O f D i a g r a m O b j e c t K e y a n y T y p e z b w N T n L X > < a : K e y > < K e y > M e a s u r e s \ A v e r a g e   o f   E�2'F  ('1��1�  4/G\ T a g I n f o \ V a l u e < / K e y > < / a : K e y > < a : V a l u e   i : t y p e = " M e a s u r e G r i d V i e w S t a t e I D i a g r a m T a g A d d i t i o n a l I n f o " / > < / a : K e y V a l u e O f D i a g r a m O b j e c t K e y a n y T y p e z b w N T n L X > < a : K e y V a l u e O f D i a g r a m O b j e c t K e y a n y T y p e z b w N T n L X > < a : K e y > < K e y > M e a s u r e s \ S t d D e v   o f   E�2'F  ('1��1�  4/G< / K e y > < / a : K e y > < a : V a l u e   i : t y p e = " M e a s u r e G r i d N o d e V i e w S t a t e " > < C o l u m n > 3 < / C o l u m n > < L a y e d O u t > t r u e < / L a y e d O u t > < R o w > 1 < / R o w > < W a s U I I n v i s i b l e > t r u e < / W a s U I I n v i s i b l e > < / a : V a l u e > < / a : K e y V a l u e O f D i a g r a m O b j e c t K e y a n y T y p e z b w N T n L X > < a : K e y V a l u e O f D i a g r a m O b j e c t K e y a n y T y p e z b w N T n L X > < a : K e y > < K e y > M e a s u r e s \ S t d D e v   o f   E�2'F  ('1��1�  4/G\ T a g I n f o \ F o r m u l a < / K e y > < / a : K e y > < a : V a l u e   i : t y p e = " M e a s u r e G r i d V i e w S t a t e I D i a g r a m T a g A d d i t i o n a l I n f o " / > < / a : K e y V a l u e O f D i a g r a m O b j e c t K e y a n y T y p e z b w N T n L X > < a : K e y V a l u e O f D i a g r a m O b j e c t K e y a n y T y p e z b w N T n L X > < a : K e y > < K e y > M e a s u r e s \ S t d D e v   o f   E�2'F  ('1��1�  4/G\ T a g I n f o \ V a l u e < / K e y > < / a : K e y > < a : V a l u e   i : t y p e = " M e a s u r e G r i d V i e w S t a t e I D i a g r a m T a g A d d i t i o n a l I n f o " / > < / a : K e y V a l u e O f D i a g r a m O b j e c t K e y a n y T y p e z b w N T n L X > < a : K e y V a l u e O f D i a g r a m O b j e c t K e y a n y T y p e z b w N T n L X > < a : K e y > < K e y > M e a s u r e s \ S u m   o f   3'D< / K e y > < / a : K e y > < a : V a l u e   i : t y p e = " M e a s u r e G r i d N o d e V i e w S t a t e " > < C o l u m n > 6 < / C o l u m n > < L a y e d O u t > t r u e < / L a y e d O u t > < W a s U I I n v i s i b l e > t r u e < / W a s U I I n v i s i b l e > < / a : V a l u e > < / a : K e y V a l u e O f D i a g r a m O b j e c t K e y a n y T y p e z b w N T n L X > < a : K e y V a l u e O f D i a g r a m O b j e c t K e y a n y T y p e z b w N T n L X > < a : K e y > < K e y > M e a s u r e s \ S u m   o f   3'D\ T a g I n f o \ F o r m u l a < / K e y > < / a : K e y > < a : V a l u e   i : t y p e = " M e a s u r e G r i d V i e w S t a t e I D i a g r a m T a g A d d i t i o n a l I n f o " / > < / a : K e y V a l u e O f D i a g r a m O b j e c t K e y a n y T y p e z b w N T n L X > < a : K e y V a l u e O f D i a g r a m O b j e c t K e y a n y T y p e z b w N T n L X > < a : K e y > < K e y > M e a s u r e s \ S u m   o f   3'D\ T a g I n f o \ V a l u e < / K e y > < / a : K e y > < a : V a l u e   i : t y p e = " M e a s u r e G r i d V i e w S t a t e I D i a g r a m T a g A d d i t i o n a l I n f o " / > < / a : K e y V a l u e O f D i a g r a m O b j e c t K e y a n y T y p e z b w N T n L X > < a : K e y V a l u e O f D i a g r a m O b j e c t K e y a n y T y p e z b w N T n L X > < a : K e y > < K e y > M e a s u r e s \ m a x y e a r l o a d i n g < / K e y > < / a : K e y > < a : V a l u e   i : t y p e = " M e a s u r e G r i d N o d e V i e w S t a t e " > < L a y e d O u t > t r u e < / L a y e d O u t > < / a : V a l u e > < / a : K e y V a l u e O f D i a g r a m O b j e c t K e y a n y T y p e z b w N T n L X > < a : K e y V a l u e O f D i a g r a m O b j e c t K e y a n y T y p e z b w N T n L X > < a : K e y > < K e y > M e a s u r e s \ m a x y e a r l o a d i n g \ T a g I n f o \ F o r m u l a < / K e y > < / a : K e y > < a : V a l u e   i : t y p e = " M e a s u r e G r i d V i e w S t a t e I D i a g r a m T a g A d d i t i o n a l I n f o " / > < / a : K e y V a l u e O f D i a g r a m O b j e c t K e y a n y T y p e z b w N T n L X > < a : K e y V a l u e O f D i a g r a m O b j e c t K e y a n y T y p e z b w N T n L X > < a : K e y > < K e y > M e a s u r e s \ m a x y e a r l o a d i n g \ T a g I n f o \ V a l u e < / K e y > < / a : K e y > < a : V a l u e   i : t y p e = " M e a s u r e G r i d V i e w S t a t e I D i a g r a m T a g A d d i t i o n a l I n f o " / > < / a : K e y V a l u e O f D i a g r a m O b j e c t K e y a n y T y p e z b w N T n L X > < a : K e y V a l u e O f D i a g r a m O b j e c t K e y a n y T y p e z b w N T n L X > < a : K e y > < K e y > C o l u m n s \ *'1�.  ('1��1�< / K e y > < / a : K e y > < a : V a l u e   i : t y p e = " M e a s u r e G r i d N o d e V i e w S t a t e " > < L a y e d O u t > t r u e < / L a y e d O u t > < / a : V a l u e > < / a : K e y V a l u e O f D i a g r a m O b j e c t K e y a n y T y p e z b w N T n L X > < a : K e y V a l u e O f D i a g r a m O b j e c t K e y a n y T y p e z b w N T n L X > < a : K e y > < K e y > C o l u m n s \ F'E  E4*1�< / K e y > < / a : K e y > < a : V a l u e   i : t y p e = " M e a s u r e G r i d N o d e V i e w S t a t e " > < C o l u m n > 1 < / C o l u m n > < L a y e d O u t > t r u e < / L a y e d O u t > < / a : V a l u e > < / a : K e y V a l u e O f D i a g r a m O b j e c t K e y a n y T y p e z b w N T n L X > < a : K e y V a l u e O f D i a g r a m O b j e c t K e y a n y T y p e z b w N T n L X > < a : K e y > < K e y > C o l u m n s \ 4E'1G  ~�4  A'�*H1< / K e y > < / a : K e y > < a : V a l u e   i : t y p e = " M e a s u r e G r i d N o d e V i e w S t a t e " > < C o l u m n > 2 < / C o l u m n > < L a y e d O u t > t r u e < / L a y e d O u t > < / a : V a l u e > < / a : K e y V a l u e O f D i a g r a m O b j e c t K e y a n y T y p e z b w N T n L X > < a : K e y V a l u e O f D i a g r a m O b j e c t K e y a n y T y p e z b w N T n L X > < a : K e y > < K e y > C o l u m n s \ E�2'F  ('1��1�  4/G< / K e y > < / a : K e y > < a : V a l u e   i : t y p e = " M e a s u r e G r i d N o d e V i e w S t a t e " > < C o l u m n > 3 < / C o l u m n > < L a y e d O u t > t r u e < / L a y e d O u t > < / a : V a l u e > < / a : K e y V a l u e O f D i a g r a m O b j e c t K e y a n y T y p e z b w N T n L X > < a : K e y V a l u e O f D i a g r a m O b j e c t K e y a n y T y p e z b w N T n L X > < a : K e y > < K e y > C o l u m n s \ A�< / K e y > < / a : K e y > < a : V a l u e   i : t y p e = " M e a s u r e G r i d N o d e V i e w S t a t e " > < C o l u m n > 4 < / C o l u m n > < L a y e d O u t > t r u e < / L a y e d O u t > < / a : V a l u e > < / a : K e y V a l u e O f D i a g r a m O b j e c t K e y a n y T y p e z b w N T n L X > < a : K e y V a l u e O f D i a g r a m O b j e c t K e y a n y T y p e z b w N T n L X > < a : K e y > < K e y > C o l u m n s \ 3'D< / K e y > < / a : K e y > < a : V a l u e   i : t y p e = " M e a s u r e G r i d N o d e V i e w S t a t e " > < C o l u m n > 6 < / C o l u m n > < L a y e d O u t > t r u e < / L a y e d O u t > < / a : V a l u e > < / a : K e y V a l u e O f D i a g r a m O b j e c t K e y a n y T y p e z b w N T n L X > < a : K e y V a l u e O f D i a g r a m O b j e c t K e y a n y T y p e z b w N T n L X > < a : K e y > < K e y > C o l u m n s \ E'G< / K e y > < / a : K e y > < a : V a l u e   i : t y p e = " M e a s u r e G r i d N o d e V i e w S t a t e " > < C o l u m n > 5 < / C o l u m n > < L a y e d O u t > t r u e < / L a y e d O u t > < / a : V a l u e > < / a : K e y V a l u e O f D i a g r a m O b j e c t K e y a n y T y p e z b w N T n L X > < a : K e y V a l u e O f D i a g r a m O b j e c t K e y a n y T y p e z b w N T n L X > < a : K e y > < K e y > C o l u m n s \ B�E*  �D  ('1< / K e y > < / a : K e y > < a : V a l u e   i : t y p e = " M e a s u r e G r i d N o d e V i e w S t a t e " > < C o l u m n > 7 < / C o l u m n > < L a y e d O u t > t r u e < / L a y e d O u t > < / a : V a l u e > < / a : K e y V a l u e O f D i a g r a m O b j e c t K e y a n y T y p e z b w N T n L X > < a : K e y V a l u e O f D i a g r a m O b j e c t K e y a n y T y p e z b w N T n L X > < a : K e y > < K e y > C o l u m n s \ �E��2 < / K e y > < / a : K e y > < a : V a l u e   i : t y p e = " M e a s u r e G r i d N o d e V i e w S t a t e " > < C o l u m n > 8 < / C o l u m n > < L a y e d O u t > t r u e < / L a y e d O u t > < / a : V a l u e > < / a : K e y V a l u e O f D i a g r a m O b j e c t K e y a n y T y p e z b w N T n L X > < a : K e y V a l u e O f D i a g r a m O b j e c t K e y a n y T y p e z b w N T n L X > < a : K e y > < K e y > C o l u m n s \ L o a d i n g A f t e r 1 4 0 3 _ C o l u m n < / K e y > < / a : K e y > < a : V a l u e   i : t y p e = " M e a s u r e G r i d N o d e V i e w S t a t e " > < C o l u m n > 9 < / C o l u m n > < L a y e d O u t > t r u e < / L a y e d O u t > < / a : V a l u e > < / a : K e y V a l u e O f D i a g r a m O b j e c t K e y a n y T y p e z b w N T n L X > < a : K e y V a l u e O f D i a g r a m O b j e c t K e y a n y T y p e z b w N T n L X > < a : K e y > < K e y > L i n k s \ & l t ; C o l u m n s \ S u m   o f   E�2'F  ('1��1�  4/G& g t ; - & l t ; M e a s u r e s \ E�2'F  ('1��1�  4/G& g t ; < / K e y > < / a : K e y > < a : V a l u e   i : t y p e = " M e a s u r e G r i d V i e w S t a t e I D i a g r a m L i n k " / > < / a : K e y V a l u e O f D i a g r a m O b j e c t K e y a n y T y p e z b w N T n L X > < a : K e y V a l u e O f D i a g r a m O b j e c t K e y a n y T y p e z b w N T n L X > < a : K e y > < K e y > L i n k s \ & l t ; C o l u m n s \ S u m   o f   E�2'F  ('1��1�  4/G& g t ; - & l t ; M e a s u r e s \ E�2'F  ('1��1�  4/G& g t ; \ C O L U M N < / K e y > < / a : K e y > < a : V a l u e   i : t y p e = " M e a s u r e G r i d V i e w S t a t e I D i a g r a m L i n k E n d p o i n t " / > < / a : K e y V a l u e O f D i a g r a m O b j e c t K e y a n y T y p e z b w N T n L X > < a : K e y V a l u e O f D i a g r a m O b j e c t K e y a n y T y p e z b w N T n L X > < a : K e y > < K e y > L i n k s \ & l t ; C o l u m n s \ S u m   o f   E�2'F  ('1��1�  4/G& g t ; - & l t ; M e a s u r e s \ E�2'F  ('1��1�  4/G& g t ; \ M E A S U R E < / K e y > < / a : K e y > < a : V a l u e   i : t y p e = " M e a s u r e G r i d V i e w S t a t e I D i a g r a m L i n k E n d p o i n t " / > < / a : K e y V a l u e O f D i a g r a m O b j e c t K e y a n y T y p e z b w N T n L X > < a : K e y V a l u e O f D i a g r a m O b j e c t K e y a n y T y p e z b w N T n L X > < a : K e y > < K e y > L i n k s \ & l t ; C o l u m n s \ S u m   o f   A�& g t ; - & l t ; M e a s u r e s \ A�& g t ; < / K e y > < / a : K e y > < a : V a l u e   i : t y p e = " M e a s u r e G r i d V i e w S t a t e I D i a g r a m L i n k " / > < / a : K e y V a l u e O f D i a g r a m O b j e c t K e y a n y T y p e z b w N T n L X > < a : K e y V a l u e O f D i a g r a m O b j e c t K e y a n y T y p e z b w N T n L X > < a : K e y > < K e y > L i n k s \ & l t ; C o l u m n s \ S u m   o f   A�& g t ; - & l t ; M e a s u r e s \ A�& g t ; \ C O L U M N < / K e y > < / a : K e y > < a : V a l u e   i : t y p e = " M e a s u r e G r i d V i e w S t a t e I D i a g r a m L i n k E n d p o i n t " / > < / a : K e y V a l u e O f D i a g r a m O b j e c t K e y a n y T y p e z b w N T n L X > < a : K e y V a l u e O f D i a g r a m O b j e c t K e y a n y T y p e z b w N T n L X > < a : K e y > < K e y > L i n k s \ & l t ; C o l u m n s \ S u m   o f   A�& g t ; - & l t ; M e a s u r e s \ A�& g t ; \ M E A S U R E < / K e y > < / a : K e y > < a : V a l u e   i : t y p e = " M e a s u r e G r i d V i e w S t a t e I D i a g r a m L i n k E n d p o i n t " / > < / a : K e y V a l u e O f D i a g r a m O b j e c t K e y a n y T y p e z b w N T n L X > < a : K e y V a l u e O f D i a g r a m O b j e c t K e y a n y T y p e z b w N T n L X > < a : K e y > < K e y > L i n k s \ & l t ; C o l u m n s \ A v e r a g e   o f   A�  2 & g t ; - & l t ; M e a s u r e s \ A�& g t ; < / K e y > < / a : K e y > < a : V a l u e   i : t y p e = " M e a s u r e G r i d V i e w S t a t e I D i a g r a m L i n k " / > < / a : K e y V a l u e O f D i a g r a m O b j e c t K e y a n y T y p e z b w N T n L X > < a : K e y V a l u e O f D i a g r a m O b j e c t K e y a n y T y p e z b w N T n L X > < a : K e y > < K e y > L i n k s \ & l t ; C o l u m n s \ A v e r a g e   o f   A�  2 & g t ; - & l t ; M e a s u r e s \ A�& g t ; \ C O L U M N < / K e y > < / a : K e y > < a : V a l u e   i : t y p e = " M e a s u r e G r i d V i e w S t a t e I D i a g r a m L i n k E n d p o i n t " / > < / a : K e y V a l u e O f D i a g r a m O b j e c t K e y a n y T y p e z b w N T n L X > < a : K e y V a l u e O f D i a g r a m O b j e c t K e y a n y T y p e z b w N T n L X > < a : K e y > < K e y > L i n k s \ & l t ; C o l u m n s \ A v e r a g e   o f   A�  2 & g t ; - & l t ; M e a s u r e s \ A�& g t ; \ M E A S U R E < / K e y > < / a : K e y > < a : V a l u e   i : t y p e = " M e a s u r e G r i d V i e w S t a t e I D i a g r a m L i n k E n d p o i n t " / > < / a : K e y V a l u e O f D i a g r a m O b j e c t K e y a n y T y p e z b w N T n L X > < a : K e y V a l u e O f D i a g r a m O b j e c t K e y a n y T y p e z b w N T n L X > < a : K e y > < K e y > L i n k s \ & l t ; C o l u m n s \ C o u n t   o f   4E'1G  ~�4  A'�*H1& g t ; - & l t ; M e a s u r e s \ 4E'1G  ~�4  A'�*H1& g t ; < / K e y > < / a : K e y > < a : V a l u e   i : t y p e = " M e a s u r e G r i d V i e w S t a t e I D i a g r a m L i n k " / > < / a : K e y V a l u e O f D i a g r a m O b j e c t K e y a n y T y p e z b w N T n L X > < a : K e y V a l u e O f D i a g r a m O b j e c t K e y a n y T y p e z b w N T n L X > < a : K e y > < K e y > L i n k s \ & l t ; C o l u m n s \ C o u n t   o f   4E'1G  ~�4  A'�*H1& g t ; - & l t ; M e a s u r e s \ 4E'1G  ~�4  A'�*H1& g t ; \ C O L U M N < / K e y > < / a : K e y > < a : V a l u e   i : t y p e = " M e a s u r e G r i d V i e w S t a t e I D i a g r a m L i n k E n d p o i n t " / > < / a : K e y V a l u e O f D i a g r a m O b j e c t K e y a n y T y p e z b w N T n L X > < a : K e y V a l u e O f D i a g r a m O b j e c t K e y a n y T y p e z b w N T n L X > < a : K e y > < K e y > L i n k s \ & l t ; C o l u m n s \ C o u n t   o f   4E'1G  ~�4  A'�*H1& g t ; - & l t ; M e a s u r e s \ 4E'1G  ~�4  A'�*H1& g t ; \ M E A S U R E < / K e y > < / a : K e y > < a : V a l u e   i : t y p e = " M e a s u r e G r i d V i e w S t a t e I D i a g r a m L i n k E n d p o i n t " / > < / a : K e y V a l u e O f D i a g r a m O b j e c t K e y a n y T y p e z b w N T n L X > < a : K e y V a l u e O f D i a g r a m O b j e c t K e y a n y T y p e z b w N T n L X > < a : K e y > < K e y > L i n k s \ & l t ; C o l u m n s \ D i s t i n c t   C o u n t   o f   4E'1G  ~�4  A'�*H1& g t ; - & l t ; M e a s u r e s \ 4E'1G  ~�4  A'�*H1& g t ; < / K e y > < / a : K e y > < a : V a l u e   i : t y p e = " M e a s u r e G r i d V i e w S t a t e I D i a g r a m L i n k " / > < / a : K e y V a l u e O f D i a g r a m O b j e c t K e y a n y T y p e z b w N T n L X > < a : K e y V a l u e O f D i a g r a m O b j e c t K e y a n y T y p e z b w N T n L X > < a : K e y > < K e y > L i n k s \ & l t ; C o l u m n s \ D i s t i n c t   C o u n t   o f   4E'1G  ~�4  A'�*H1& g t ; - & l t ; M e a s u r e s \ 4E'1G  ~�4  A'�*H1& g t ; \ C O L U M N < / K e y > < / a : K e y > < a : V a l u e   i : t y p e = " M e a s u r e G r i d V i e w S t a t e I D i a g r a m L i n k E n d p o i n t " / > < / a : K e y V a l u e O f D i a g r a m O b j e c t K e y a n y T y p e z b w N T n L X > < a : K e y V a l u e O f D i a g r a m O b j e c t K e y a n y T y p e z b w N T n L X > < a : K e y > < K e y > L i n k s \ & l t ; C o l u m n s \ D i s t i n c t   C o u n t   o f   4E'1G  ~�4  A'�*H1& g t ; - & l t ; M e a s u r e s \ 4E'1G  ~�4  A'�*H1& g t ; \ M E A S U R E < / K e y > < / a : K e y > < a : V a l u e   i : t y p e = " M e a s u r e G r i d V i e w S t a t e I D i a g r a m L i n k E n d p o i n t " / > < / a : K e y V a l u e O f D i a g r a m O b j e c t K e y a n y T y p e z b w N T n L X > < a : K e y V a l u e O f D i a g r a m O b j e c t K e y a n y T y p e z b w N T n L X > < a : K e y > < K e y > L i n k s \ & l t ; C o l u m n s \ C o u n t   o f   *'1�.  ('1��1�& g t ; - & l t ; M e a s u r e s \ *'1�.  ('1��1�& g t ; < / K e y > < / a : K e y > < a : V a l u e   i : t y p e = " M e a s u r e G r i d V i e w S t a t e I D i a g r a m L i n k " / > < / a : K e y V a l u e O f D i a g r a m O b j e c t K e y a n y T y p e z b w N T n L X > < a : K e y V a l u e O f D i a g r a m O b j e c t K e y a n y T y p e z b w N T n L X > < a : K e y > < K e y > L i n k s \ & l t ; C o l u m n s \ C o u n t   o f   *'1�.  ('1��1�& g t ; - & l t ; M e a s u r e s \ *'1�.  ('1��1�& g t ; \ C O L U M N < / K e y > < / a : K e y > < a : V a l u e   i : t y p e = " M e a s u r e G r i d V i e w S t a t e I D i a g r a m L i n k E n d p o i n t " / > < / a : K e y V a l u e O f D i a g r a m O b j e c t K e y a n y T y p e z b w N T n L X > < a : K e y V a l u e O f D i a g r a m O b j e c t K e y a n y T y p e z b w N T n L X > < a : K e y > < K e y > L i n k s \ & l t ; C o l u m n s \ C o u n t   o f   *'1�.  ('1��1�& g t ; - & l t ; M e a s u r e s \ *'1�.  ('1��1�& g t ; \ M E A S U R E < / K e y > < / a : K e y > < a : V a l u e   i : t y p e = " M e a s u r e G r i d V i e w S t a t e I D i a g r a m L i n k E n d p o i n t " / > < / a : K e y V a l u e O f D i a g r a m O b j e c t K e y a n y T y p e z b w N T n L X > < a : K e y V a l u e O f D i a g r a m O b j e c t K e y a n y T y p e z b w N T n L X > < a : K e y > < K e y > L i n k s \ & l t ; C o l u m n s \ C o u n t   o f   F'E  E4*1�& g t ; - & l t ; M e a s u r e s \ F'E  E4*1�& g t ; < / K e y > < / a : K e y > < a : V a l u e   i : t y p e = " M e a s u r e G r i d V i e w S t a t e I D i a g r a m L i n k " / > < / a : K e y V a l u e O f D i a g r a m O b j e c t K e y a n y T y p e z b w N T n L X > < a : K e y V a l u e O f D i a g r a m O b j e c t K e y a n y T y p e z b w N T n L X > < a : K e y > < K e y > L i n k s \ & l t ; C o l u m n s \ C o u n t   o f   F'E  E4*1�& g t ; - & l t ; M e a s u r e s \ F'E  E4*1�& g t ; \ C O L U M N < / K e y > < / a : K e y > < a : V a l u e   i : t y p e = " M e a s u r e G r i d V i e w S t a t e I D i a g r a m L i n k E n d p o i n t " / > < / a : K e y V a l u e O f D i a g r a m O b j e c t K e y a n y T y p e z b w N T n L X > < a : K e y V a l u e O f D i a g r a m O b j e c t K e y a n y T y p e z b w N T n L X > < a : K e y > < K e y > L i n k s \ & l t ; C o l u m n s \ C o u n t   o f   F'E  E4*1�& g t ; - & l t ; M e a s u r e s \ F'E  E4*1�& g t ; \ M E A S U R E < / K e y > < / a : K e y > < a : V a l u e   i : t y p e = " M e a s u r e G r i d V i e w S t a t e I D i a g r a m L i n k E n d p o i n t " / > < / a : K e y V a l u e O f D i a g r a m O b j e c t K e y a n y T y p e z b w N T n L X > < a : K e y V a l u e O f D i a g r a m O b j e c t K e y a n y T y p e z b w N T n L X > < a : K e y > < K e y > L i n k s \ & l t ; C o l u m n s \ D i s t i n c t   C o u n t   o f   F'E  E4*1�& g t ; - & l t ; M e a s u r e s \ F'E  E4*1�& g t ; < / K e y > < / a : K e y > < a : V a l u e   i : t y p e = " M e a s u r e G r i d V i e w S t a t e I D i a g r a m L i n k " / > < / a : K e y V a l u e O f D i a g r a m O b j e c t K e y a n y T y p e z b w N T n L X > < a : K e y V a l u e O f D i a g r a m O b j e c t K e y a n y T y p e z b w N T n L X > < a : K e y > < K e y > L i n k s \ & l t ; C o l u m n s \ D i s t i n c t   C o u n t   o f   F'E  E4*1�& g t ; - & l t ; M e a s u r e s \ F'E  E4*1�& g t ; \ C O L U M N < / K e y > < / a : K e y > < a : V a l u e   i : t y p e = " M e a s u r e G r i d V i e w S t a t e I D i a g r a m L i n k E n d p o i n t " / > < / a : K e y V a l u e O f D i a g r a m O b j e c t K e y a n y T y p e z b w N T n L X > < a : K e y V a l u e O f D i a g r a m O b j e c t K e y a n y T y p e z b w N T n L X > < a : K e y > < K e y > L i n k s \ & l t ; C o l u m n s \ D i s t i n c t   C o u n t   o f   F'E  E4*1�& g t ; - & l t ; M e a s u r e s \ F'E  E4*1�& g t ; \ M E A S U R E < / K e y > < / a : K e y > < a : V a l u e   i : t y p e = " M e a s u r e G r i d V i e w S t a t e I D i a g r a m L i n k E n d p o i n t " / > < / a : K e y V a l u e O f D i a g r a m O b j e c t K e y a n y T y p e z b w N T n L X > < a : K e y V a l u e O f D i a g r a m O b j e c t K e y a n y T y p e z b w N T n L X > < a : K e y > < K e y > L i n k s \ & l t ; C o l u m n s \ D i s t i n c t   C o u n t   o f   *'1�.  ('1��1�& g t ; - & l t ; M e a s u r e s \ *'1�.  ('1��1�& g t ; < / K e y > < / a : K e y > < a : V a l u e   i : t y p e = " M e a s u r e G r i d V i e w S t a t e I D i a g r a m L i n k " / > < / a : K e y V a l u e O f D i a g r a m O b j e c t K e y a n y T y p e z b w N T n L X > < a : K e y V a l u e O f D i a g r a m O b j e c t K e y a n y T y p e z b w N T n L X > < a : K e y > < K e y > L i n k s \ & l t ; C o l u m n s \ D i s t i n c t   C o u n t   o f   *'1�.  ('1��1�& g t ; - & l t ; M e a s u r e s \ *'1�.  ('1��1�& g t ; \ C O L U M N < / K e y > < / a : K e y > < a : V a l u e   i : t y p e = " M e a s u r e G r i d V i e w S t a t e I D i a g r a m L i n k E n d p o i n t " / > < / a : K e y V a l u e O f D i a g r a m O b j e c t K e y a n y T y p e z b w N T n L X > < a : K e y V a l u e O f D i a g r a m O b j e c t K e y a n y T y p e z b w N T n L X > < a : K e y > < K e y > L i n k s \ & l t ; C o l u m n s \ D i s t i n c t   C o u n t   o f   *'1�.  ('1��1�& g t ; - & l t ; M e a s u r e s \ *'1�.  ('1��1�& g t ; \ M E A S U R E < / K e y > < / a : K e y > < a : V a l u e   i : t y p e = " M e a s u r e G r i d V i e w S t a t e I D i a g r a m L i n k E n d p o i n t " / > < / a : K e y V a l u e O f D i a g r a m O b j e c t K e y a n y T y p e z b w N T n L X > < a : K e y V a l u e O f D i a g r a m O b j e c t K e y a n y T y p e z b w N T n L X > < a : K e y > < K e y > L i n k s \ & l t ; C o l u m n s \ A v e r a g e   o f   E�2'F  ('1��1�  4/G& g t ; - & l t ; M e a s u r e s \ E�2'F  ('1��1�  4/G& g t ; < / K e y > < / a : K e y > < a : V a l u e   i : t y p e = " M e a s u r e G r i d V i e w S t a t e I D i a g r a m L i n k " / > < / a : K e y V a l u e O f D i a g r a m O b j e c t K e y a n y T y p e z b w N T n L X > < a : K e y V a l u e O f D i a g r a m O b j e c t K e y a n y T y p e z b w N T n L X > < a : K e y > < K e y > L i n k s \ & l t ; C o l u m n s \ A v e r a g e   o f   E�2'F  ('1��1�  4/G& g t ; - & l t ; M e a s u r e s \ E�2'F  ('1��1�  4/G& g t ; \ C O L U M N < / K e y > < / a : K e y > < a : V a l u e   i : t y p e = " M e a s u r e G r i d V i e w S t a t e I D i a g r a m L i n k E n d p o i n t " / > < / a : K e y V a l u e O f D i a g r a m O b j e c t K e y a n y T y p e z b w N T n L X > < a : K e y V a l u e O f D i a g r a m O b j e c t K e y a n y T y p e z b w N T n L X > < a : K e y > < K e y > L i n k s \ & l t ; C o l u m n s \ A v e r a g e   o f   E�2'F  ('1��1�  4/G& g t ; - & l t ; M e a s u r e s \ E�2'F  ('1��1�  4/G& g t ; \ M E A S U R E < / K e y > < / a : K e y > < a : V a l u e   i : t y p e = " M e a s u r e G r i d V i e w S t a t e I D i a g r a m L i n k E n d p o i n t " / > < / a : K e y V a l u e O f D i a g r a m O b j e c t K e y a n y T y p e z b w N T n L X > < a : K e y V a l u e O f D i a g r a m O b j e c t K e y a n y T y p e z b w N T n L X > < a : K e y > < K e y > L i n k s \ & l t ; C o l u m n s \ S t d D e v   o f   E�2'F  ('1��1�  4/G& g t ; - & l t ; M e a s u r e s \ E�2'F  ('1��1�  4/G& g t ; < / K e y > < / a : K e y > < a : V a l u e   i : t y p e = " M e a s u r e G r i d V i e w S t a t e I D i a g r a m L i n k " / > < / a : K e y V a l u e O f D i a g r a m O b j e c t K e y a n y T y p e z b w N T n L X > < a : K e y V a l u e O f D i a g r a m O b j e c t K e y a n y T y p e z b w N T n L X > < a : K e y > < K e y > L i n k s \ & l t ; C o l u m n s \ S t d D e v   o f   E�2'F  ('1��1�  4/G& g t ; - & l t ; M e a s u r e s \ E�2'F  ('1��1�  4/G& g t ; \ C O L U M N < / K e y > < / a : K e y > < a : V a l u e   i : t y p e = " M e a s u r e G r i d V i e w S t a t e I D i a g r a m L i n k E n d p o i n t " / > < / a : K e y V a l u e O f D i a g r a m O b j e c t K e y a n y T y p e z b w N T n L X > < a : K e y V a l u e O f D i a g r a m O b j e c t K e y a n y T y p e z b w N T n L X > < a : K e y > < K e y > L i n k s \ & l t ; C o l u m n s \ S t d D e v   o f   E�2'F  ('1��1�  4/G& g t ; - & l t ; M e a s u r e s \ E�2'F  ('1��1�  4/G& g t ; \ M E A S U R E < / K e y > < / a : K e y > < a : V a l u e   i : t y p e = " M e a s u r e G r i d V i e w S t a t e I D i a g r a m L i n k E n d p o i n t " / > < / a : K e y V a l u e O f D i a g r a m O b j e c t K e y a n y T y p e z b w N T n L X > < a : K e y V a l u e O f D i a g r a m O b j e c t K e y a n y T y p e z b w N T n L X > < a : K e y > < K e y > L i n k s \ & l t ; C o l u m n s \ S u m   o f   3'D& g t ; - & l t ; M e a s u r e s \ 3'D& g t ; < / K e y > < / a : K e y > < a : V a l u e   i : t y p e = " M e a s u r e G r i d V i e w S t a t e I D i a g r a m L i n k " / > < / a : K e y V a l u e O f D i a g r a m O b j e c t K e y a n y T y p e z b w N T n L X > < a : K e y V a l u e O f D i a g r a m O b j e c t K e y a n y T y p e z b w N T n L X > < a : K e y > < K e y > L i n k s \ & l t ; C o l u m n s \ S u m   o f   3'D& g t ; - & l t ; M e a s u r e s \ 3'D& g t ; \ C O L U M N < / K e y > < / a : K e y > < a : V a l u e   i : t y p e = " M e a s u r e G r i d V i e w S t a t e I D i a g r a m L i n k E n d p o i n t " / > < / a : K e y V a l u e O f D i a g r a m O b j e c t K e y a n y T y p e z b w N T n L X > < a : K e y V a l u e O f D i a g r a m O b j e c t K e y a n y T y p e z b w N T n L X > < a : K e y > < K e y > L i n k s \ & l t ; C o l u m n s \ S u m   o f   3'D& g t ; - & l t ; M e a s u r e s \ 3'D& g t ; \ M E A S U R E < / K e y > < / a : K e y > < a : V a l u e   i : t y p e = " M e a s u r e G r i d V i e w S t a t e I D i a g r a m L i n k E n d p o i n t " / > < / a : K e y V a l u e O f D i a g r a m O b j e c t K e y a n y T y p e z b w N T n L X > < / V i e w S t a t e s > < / D i a g r a m M a n a g e r . S e r i a l i z a b l e D i a g r a m > < D i a g r a m M a n a g e r . S e r i a l i z a b l e D i a g r a m > < A d a p t e r   i : t y p e = " M e a s u r e D i a g r a m S a n d b o x A d a p t e r " > < T a b l e N a m e > i n v o i c e 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 E�2'F  3A'14< / K e y > < / D i a g r a m O b j e c t K e y > < D i a g r a m O b j e c t K e y > < K e y > M e a s u r e s \ S u m   o f   E�2'F  3A'14\ T a g I n f o \ F o r m u l a < / K e y > < / D i a g r a m O b j e c t K e y > < D i a g r a m O b j e c t K e y > < K e y > M e a s u r e s \ S u m   o f   E�2'F  3A'14\ T a g I n f o \ V a l u e < / K e y > < / D i a g r a m O b j e c t K e y > < D i a g r a m O b j e c t K e y > < K e y > M e a s u r e s \ M a x   o f   E�2'F  3A'14< / K e y > < / D i a g r a m O b j e c t K e y > < D i a g r a m O b j e c t K e y > < K e y > M e a s u r e s \ M a x   o f   E�2'F  3A'14\ T a g I n f o \ F o r m u l a < / K e y > < / D i a g r a m O b j e c t K e y > < D i a g r a m O b j e c t K e y > < K e y > M e a s u r e s \ M a x   o f   E�2'F  3A'14\ T a g I n f o \ V a l u e < / K e y > < / D i a g r a m O b j e c t K e y > < D i a g r a m O b j e c t K e y > < K e y > M e a s u r e s \ S u m   o f   A�  2 < / K e y > < / D i a g r a m O b j e c t K e y > < D i a g r a m O b j e c t K e y > < K e y > M e a s u r e s \ S u m   o f   A�  2 \ T a g I n f o \ F o r m u l a < / K e y > < / D i a g r a m O b j e c t K e y > < D i a g r a m O b j e c t K e y > < K e y > M e a s u r e s \ S u m   o f   A�  2 \ T a g I n f o \ V a l u e < / K e y > < / D i a g r a m O b j e c t K e y > < D i a g r a m O b j e c t K e y > < K e y > M e a s u r e s \ A v e r a g e   o f   A�< / K e y > < / D i a g r a m O b j e c t K e y > < D i a g r a m O b j e c t K e y > < K e y > M e a s u r e s \ A v e r a g e   o f   A�\ T a g I n f o \ F o r m u l a < / K e y > < / D i a g r a m O b j e c t K e y > < D i a g r a m O b j e c t K e y > < K e y > M e a s u r e s \ A v e r a g e   o f   A�\ T a g I n f o \ V a l u e < / K e y > < / D i a g r a m O b j e c t K e y > < D i a g r a m O b j e c t K e y > < K e y > M e a s u r e s \ C o u n t   o f   *'1�.< / K e y > < / D i a g r a m O b j e c t K e y > < D i a g r a m O b j e c t K e y > < K e y > M e a s u r e s \ C o u n t   o f   *'1�.\ T a g I n f o \ F o r m u l a < / K e y > < / D i a g r a m O b j e c t K e y > < D i a g r a m O b j e c t K e y > < K e y > M e a s u r e s \ C o u n t   o f   *'1�.\ T a g I n f o \ V a l u e < / K e y > < / D i a g r a m O b j e c t K e y > < D i a g r a m O b j e c t K e y > < K e y > M e a s u r e s \ C o u n t   o f   4E'1G  ~�4  A'�*H1  2 < / K e y > < / D i a g r a m O b j e c t K e y > < D i a g r a m O b j e c t K e y > < K e y > M e a s u r e s \ C o u n t   o f   4E'1G  ~�4  A'�*H1  2 \ T a g I n f o \ F o r m u l a < / K e y > < / D i a g r a m O b j e c t K e y > < D i a g r a m O b j e c t K e y > < K e y > M e a s u r e s \ C o u n t   o f   4E'1G  ~�4  A'�*H1  2 \ T a g I n f o \ V a l u e < / K e y > < / D i a g r a m O b j e c t K e y > < D i a g r a m O b j e c t K e y > < K e y > M e a s u r e s \ A v e r a g e   o f   E�2'F  3A'14< / K e y > < / D i a g r a m O b j e c t K e y > < D i a g r a m O b j e c t K e y > < K e y > M e a s u r e s \ A v e r a g e   o f   E�2'F  3A'14\ T a g I n f o \ F o r m u l a < / K e y > < / D i a g r a m O b j e c t K e y > < D i a g r a m O b j e c t K e y > < K e y > M e a s u r e s \ A v e r a g e   o f   E�2'F  3A'14\ T a g I n f o \ V a l u e < / K e y > < / D i a g r a m O b j e c t K e y > < D i a g r a m O b j e c t K e y > < K e y > M e a s u r e s \ S t d D e v   o f   E�2'F  3A'14< / K e y > < / D i a g r a m O b j e c t K e y > < D i a g r a m O b j e c t K e y > < K e y > M e a s u r e s \ S t d D e v   o f   E�2'F  3A'14\ T a g I n f o \ F o r m u l a < / K e y > < / D i a g r a m O b j e c t K e y > < D i a g r a m O b j e c t K e y > < K e y > M e a s u r e s \ S t d D e v   o f   E�2'F  3A'14\ T a g I n f o \ V a l u e < / K e y > < / D i a g r a m O b j e c t K e y > < D i a g r a m O b j e c t K e y > < K e y > M e a s u r e s \ S t d D e v p   o f   E�2'F  3A'14< / K e y > < / D i a g r a m O b j e c t K e y > < D i a g r a m O b j e c t K e y > < K e y > M e a s u r e s \ S t d D e v p   o f   E�2'F  3A'14\ T a g I n f o \ F o r m u l a < / K e y > < / D i a g r a m O b j e c t K e y > < D i a g r a m O b j e c t K e y > < K e y > M e a s u r e s \ S t d D e v p   o f   E�2'F  3A'14\ T a g I n f o \ V a l u e < / K e y > < / D i a g r a m O b j e c t K e y > < D i a g r a m O b j e c t K e y > < K e y > M e a s u r e s \ V a r   o f   E�2'F  3A'14< / K e y > < / D i a g r a m O b j e c t K e y > < D i a g r a m O b j e c t K e y > < K e y > M e a s u r e s \ V a r   o f   E�2'F  3A'14\ T a g I n f o \ F o r m u l a < / K e y > < / D i a g r a m O b j e c t K e y > < D i a g r a m O b j e c t K e y > < K e y > M e a s u r e s \ V a r   o f   E�2'F  3A'14\ T a g I n f o \ V a l u e < / K e y > < / D i a g r a m O b j e c t K e y > < D i a g r a m O b j e c t K e y > < K e y > M e a s u r e s \ S u m   o f   /15/  E�2'F  ('1��1�  4/G< / K e y > < / D i a g r a m O b j e c t K e y > < D i a g r a m O b j e c t K e y > < K e y > M e a s u r e s \ S u m   o f   /15/  E�2'F  ('1��1�  4/G\ T a g I n f o \ F o r m u l a < / K e y > < / D i a g r a m O b j e c t K e y > < D i a g r a m O b j e c t K e y > < K e y > M e a s u r e s \ S u m   o f   /15/  E�2'F  ('1��1�  4/G\ T a g I n f o \ V a l u e < / K e y > < / D i a g r a m O b j e c t K e y > < D i a g r a m O b j e c t K e y > < K e y > C o l u m n s \ 4E'1G  ~�4  A'�*H1< / K e y > < / D i a g r a m O b j e c t K e y > < D i a g r a m O b j e c t K e y > < K e y > C o l u m n s \ F'E  E4*1�< / K e y > < / D i a g r a m O b j e c t K e y > < D i a g r a m O b j e c t K e y > < K e y > C o l u m n s \ *'1�.< / K e y > < / D i a g r a m O b j e c t K e y > < D i a g r a m O b j e c t K e y > < K e y > C o l u m n s \ *'1�.  E,H2  (G1G  (1/'1�< / K e y > < / D i a g r a m O b j e c t K e y > < D i a g r a m O b j e c t K e y > < K e y > C o l u m n s \ E�2'F  3A'14< / K e y > < / D i a g r a m O b j e c t K e y > < D i a g r a m O b j e c t K e y > < K e y > C o l u m n s \ A�< / K e y > < / D i a g r a m O b j e c t K e y > < D i a g r a m O b j e c t K e y > < K e y > C o l u m n s \ E'G< / K e y > < / D i a g r a m O b j e c t K e y > < D i a g r a m O b j e c t K e y > < K e y > C o l u m n s \ 3'D< / K e y > < / D i a g r a m O b j e c t K e y > < D i a g r a m O b j e c t K e y > < K e y > C o l u m n s \ FH9  3A'14< / K e y > < / D i a g r a m O b j e c t K e y > < D i a g r a m O b j e c t K e y > < K e y > C o l u m n s \ FH9  41�*< / K e y > < / D i a g r a m O b j e c t K e y > < D i a g r a m O b j e c t K e y > < K e y > C o l u m n s \ *'1�.  'FB6'< / K e y > < / D i a g r a m O b j e c t K e y > < D i a g r a m O b j e c t K e y > < K e y > C o l u m n s \ �E��< / K e y > < / D i a g r a m O b j e c t K e y > < D i a g r a m O b j e c t K e y > < K e y > C o l u m n s \ /15/  E(D:  ~�4  /1�'A*< / K e y > < / D i a g r a m O b j e c t K e y > < D i a g r a m O b j e c t K e y > < K e y > C o l u m n s \ '124  'A2H/G< / K e y > < / D i a g r a m O b j e c t K e y > < D i a g r a m O b j e c t K e y > < K e y > C o l u m n s \ /15/  E�2'F  ('1��1�  4/G< / K e y > < / D i a g r a m O b j e c t K e y > < D i a g r a m O b j e c t K e y > < K e y > C o l u m n s \ C a l c u l a t e d   C o l u m n   1 < / K e y > < / D i a g r a m O b j e c t K e y > < D i a g r a m O b j e c t K e y > < K e y > L i n k s \ & l t ; C o l u m n s \ S u m   o f   E�2'F  3A'14& g t ; - & l t ; M e a s u r e s \ E�2'F  3A'14& g t ; < / K e y > < / D i a g r a m O b j e c t K e y > < D i a g r a m O b j e c t K e y > < K e y > L i n k s \ & l t ; C o l u m n s \ S u m   o f   E�2'F  3A'14& g t ; - & l t ; M e a s u r e s \ E�2'F  3A'14& g t ; \ C O L U M N < / K e y > < / D i a g r a m O b j e c t K e y > < D i a g r a m O b j e c t K e y > < K e y > L i n k s \ & l t ; C o l u m n s \ S u m   o f   E�2'F  3A'14& g t ; - & l t ; M e a s u r e s \ E�2'F  3A'14& g t ; \ M E A S U R E < / K e y > < / D i a g r a m O b j e c t K e y > < D i a g r a m O b j e c t K e y > < K e y > L i n k s \ & l t ; C o l u m n s \ M a x   o f   E�2'F  3A'14& g t ; - & l t ; M e a s u r e s \ E�2'F  3A'14& g t ; < / K e y > < / D i a g r a m O b j e c t K e y > < D i a g r a m O b j e c t K e y > < K e y > L i n k s \ & l t ; C o l u m n s \ M a x   o f   E�2'F  3A'14& g t ; - & l t ; M e a s u r e s \ E�2'F  3A'14& g t ; \ C O L U M N < / K e y > < / D i a g r a m O b j e c t K e y > < D i a g r a m O b j e c t K e y > < K e y > L i n k s \ & l t ; C o l u m n s \ M a x   o f   E�2'F  3A'14& g t ; - & l t ; M e a s u r e s \ E�2'F  3A'14& g t ; \ M E A S U R E < / K e y > < / D i a g r a m O b j e c t K e y > < D i a g r a m O b j e c t K e y > < K e y > L i n k s \ & l t ; C o l u m n s \ S u m   o f   A�  2 & g t ; - & l t ; M e a s u r e s \ A�& g t ; < / K e y > < / D i a g r a m O b j e c t K e y > < D i a g r a m O b j e c t K e y > < K e y > L i n k s \ & l t ; C o l u m n s \ S u m   o f   A�  2 & g t ; - & l t ; M e a s u r e s \ A�& g t ; \ C O L U M N < / K e y > < / D i a g r a m O b j e c t K e y > < D i a g r a m O b j e c t K e y > < K e y > L i n k s \ & l t ; C o l u m n s \ S u m   o f   A�  2 & g t ; - & l t ; M e a s u r e s \ A�& g t ; \ M E A S U R E < / K e y > < / D i a g r a m O b j e c t K e y > < D i a g r a m O b j e c t K e y > < K e y > L i n k s \ & l t ; C o l u m n s \ A v e r a g e   o f   A�& g t ; - & l t ; M e a s u r e s \ A�& g t ; < / K e y > < / D i a g r a m O b j e c t K e y > < D i a g r a m O b j e c t K e y > < K e y > L i n k s \ & l t ; C o l u m n s \ A v e r a g e   o f   A�& g t ; - & l t ; M e a s u r e s \ A�& g t ; \ C O L U M N < / K e y > < / D i a g r a m O b j e c t K e y > < D i a g r a m O b j e c t K e y > < K e y > L i n k s \ & l t ; C o l u m n s \ A v e r a g e   o f   A�& g t ; - & l t ; M e a s u r e s \ A�& g t ; \ M E A S U R E < / K e y > < / D i a g r a m O b j e c t K e y > < D i a g r a m O b j e c t K e y > < K e y > L i n k s \ & l t ; C o l u m n s \ C o u n t   o f   *'1�.& g t ; - & l t ; M e a s u r e s \ *'1�.& g t ; < / K e y > < / D i a g r a m O b j e c t K e y > < D i a g r a m O b j e c t K e y > < K e y > L i n k s \ & l t ; C o l u m n s \ C o u n t   o f   *'1�.& g t ; - & l t ; M e a s u r e s \ *'1�.& g t ; \ C O L U M N < / K e y > < / D i a g r a m O b j e c t K e y > < D i a g r a m O b j e c t K e y > < K e y > L i n k s \ & l t ; C o l u m n s \ C o u n t   o f   *'1�.& g t ; - & l t ; M e a s u r e s \ *'1�.& g t ; \ M E A S U R E < / K e y > < / D i a g r a m O b j e c t K e y > < D i a g r a m O b j e c t K e y > < K e y > L i n k s \ & l t ; C o l u m n s \ C o u n t   o f   4E'1G  ~�4  A'�*H1  2 & g t ; - & l t ; M e a s u r e s \ 4E'1G  ~�4  A'�*H1& g t ; < / K e y > < / D i a g r a m O b j e c t K e y > < D i a g r a m O b j e c t K e y > < K e y > L i n k s \ & l t ; C o l u m n s \ C o u n t   o f   4E'1G  ~�4  A'�*H1  2 & g t ; - & l t ; M e a s u r e s \ 4E'1G  ~�4  A'�*H1& g t ; \ C O L U M N < / K e y > < / D i a g r a m O b j e c t K e y > < D i a g r a m O b j e c t K e y > < K e y > L i n k s \ & l t ; C o l u m n s \ C o u n t   o f   4E'1G  ~�4  A'�*H1  2 & g t ; - & l t ; M e a s u r e s \ 4E'1G  ~�4  A'�*H1& g t ; \ M E A S U R E < / K e y > < / D i a g r a m O b j e c t K e y > < D i a g r a m O b j e c t K e y > < K e y > L i n k s \ & l t ; C o l u m n s \ A v e r a g e   o f   E�2'F  3A'14& g t ; - & l t ; M e a s u r e s \ E�2'F  3A'14& g t ; < / K e y > < / D i a g r a m O b j e c t K e y > < D i a g r a m O b j e c t K e y > < K e y > L i n k s \ & l t ; C o l u m n s \ A v e r a g e   o f   E�2'F  3A'14& g t ; - & l t ; M e a s u r e s \ E�2'F  3A'14& g t ; \ C O L U M N < / K e y > < / D i a g r a m O b j e c t K e y > < D i a g r a m O b j e c t K e y > < K e y > L i n k s \ & l t ; C o l u m n s \ A v e r a g e   o f   E�2'F  3A'14& g t ; - & l t ; M e a s u r e s \ E�2'F  3A'14& g t ; \ M E A S U R E < / K e y > < / D i a g r a m O b j e c t K e y > < D i a g r a m O b j e c t K e y > < K e y > L i n k s \ & l t ; C o l u m n s \ S t d D e v   o f   E�2'F  3A'14& g t ; - & l t ; M e a s u r e s \ E�2'F  3A'14& g t ; < / K e y > < / D i a g r a m O b j e c t K e y > < D i a g r a m O b j e c t K e y > < K e y > L i n k s \ & l t ; C o l u m n s \ S t d D e v   o f   E�2'F  3A'14& g t ; - & l t ; M e a s u r e s \ E�2'F  3A'14& g t ; \ C O L U M N < / K e y > < / D i a g r a m O b j e c t K e y > < D i a g r a m O b j e c t K e y > < K e y > L i n k s \ & l t ; C o l u m n s \ S t d D e v   o f   E�2'F  3A'14& g t ; - & l t ; M e a s u r e s \ E�2'F  3A'14& g t ; \ M E A S U R E < / K e y > < / D i a g r a m O b j e c t K e y > < D i a g r a m O b j e c t K e y > < K e y > L i n k s \ & l t ; C o l u m n s \ S t d D e v p   o f   E�2'F  3A'14& g t ; - & l t ; M e a s u r e s \ E�2'F  3A'14& g t ; < / K e y > < / D i a g r a m O b j e c t K e y > < D i a g r a m O b j e c t K e y > < K e y > L i n k s \ & l t ; C o l u m n s \ S t d D e v p   o f   E�2'F  3A'14& g t ; - & l t ; M e a s u r e s \ E�2'F  3A'14& g t ; \ C O L U M N < / K e y > < / D i a g r a m O b j e c t K e y > < D i a g r a m O b j e c t K e y > < K e y > L i n k s \ & l t ; C o l u m n s \ S t d D e v p   o f   E�2'F  3A'14& g t ; - & l t ; M e a s u r e s \ E�2'F  3A'14& g t ; \ M E A S U R E < / K e y > < / D i a g r a m O b j e c t K e y > < D i a g r a m O b j e c t K e y > < K e y > L i n k s \ & l t ; C o l u m n s \ V a r   o f   E�2'F  3A'14& g t ; - & l t ; M e a s u r e s \ E�2'F  3A'14& g t ; < / K e y > < / D i a g r a m O b j e c t K e y > < D i a g r a m O b j e c t K e y > < K e y > L i n k s \ & l t ; C o l u m n s \ V a r   o f   E�2'F  3A'14& g t ; - & l t ; M e a s u r e s \ E�2'F  3A'14& g t ; \ C O L U M N < / K e y > < / D i a g r a m O b j e c t K e y > < D i a g r a m O b j e c t K e y > < K e y > L i n k s \ & l t ; C o l u m n s \ V a r   o f   E�2'F  3A'14& g t ; - & l t ; M e a s u r e s \ E�2'F  3A'14& g t ; \ M E A S U R E < / K e y > < / D i a g r a m O b j e c t K e y > < D i a g r a m O b j e c t K e y > < K e y > L i n k s \ & l t ; C o l u m n s \ S u m   o f   /15/  E�2'F  ('1��1�  4/G& g t ; - & l t ; M e a s u r e s \ /15/  E�2'F  ('1��1�  4/G& g t ; < / K e y > < / D i a g r a m O b j e c t K e y > < D i a g r a m O b j e c t K e y > < K e y > L i n k s \ & l t ; C o l u m n s \ S u m   o f   /15/  E�2'F  ('1��1�  4/G& g t ; - & l t ; M e a s u r e s \ /15/  E�2'F  ('1��1�  4/G& g t ; \ C O L U M N < / K e y > < / D i a g r a m O b j e c t K e y > < D i a g r a m O b j e c t K e y > < K e y > L i n k s \ & l t ; C o l u m n s \ S u m   o f   /15/  E�2'F  ('1��1�  4/G& g t ; - & l t ; M e a s u r e s \ /15/  E�2'F  ('1��1�  4/G& g t ; \ M E A S U R E 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 E�2'F  3A'14< / K e y > < / a : K e y > < a : V a l u e   i : t y p e = " M e a s u r e G r i d N o d e V i e w S t a t e " > < C o l u m n > 4 < / C o l u m n > < L a y e d O u t > t r u e < / L a y e d O u t > < W a s U I I n v i s i b l e > t r u e < / W a s U I I n v i s i b l e > < / a : V a l u e > < / a : K e y V a l u e O f D i a g r a m O b j e c t K e y a n y T y p e z b w N T n L X > < a : K e y V a l u e O f D i a g r a m O b j e c t K e y a n y T y p e z b w N T n L X > < a : K e y > < K e y > M e a s u r e s \ S u m   o f   E�2'F  3A'14\ T a g I n f o \ F o r m u l a < / K e y > < / a : K e y > < a : V a l u e   i : t y p e = " M e a s u r e G r i d V i e w S t a t e I D i a g r a m T a g A d d i t i o n a l I n f o " / > < / a : K e y V a l u e O f D i a g r a m O b j e c t K e y a n y T y p e z b w N T n L X > < a : K e y V a l u e O f D i a g r a m O b j e c t K e y a n y T y p e z b w N T n L X > < a : K e y > < K e y > M e a s u r e s \ S u m   o f   E�2'F  3A'14\ T a g I n f o \ V a l u e < / K e y > < / a : K e y > < a : V a l u e   i : t y p e = " M e a s u r e G r i d V i e w S t a t e I D i a g r a m T a g A d d i t i o n a l I n f o " / > < / a : K e y V a l u e O f D i a g r a m O b j e c t K e y a n y T y p e z b w N T n L X > < a : K e y V a l u e O f D i a g r a m O b j e c t K e y a n y T y p e z b w N T n L X > < a : K e y > < K e y > M e a s u r e s \ M a x   o f   E�2'F  3A'14< / K e y > < / a : K e y > < a : V a l u e   i : t y p e = " M e a s u r e G r i d N o d e V i e w S t a t e " > < C o l u m n > 4 < / C o l u m n > < L a y e d O u t > t r u e < / L a y e d O u t > < W a s U I I n v i s i b l e > t r u e < / W a s U I I n v i s i b l e > < / a : V a l u e > < / a : K e y V a l u e O f D i a g r a m O b j e c t K e y a n y T y p e z b w N T n L X > < a : K e y V a l u e O f D i a g r a m O b j e c t K e y a n y T y p e z b w N T n L X > < a : K e y > < K e y > M e a s u r e s \ M a x   o f   E�2'F  3A'14\ T a g I n f o \ F o r m u l a < / K e y > < / a : K e y > < a : V a l u e   i : t y p e = " M e a s u r e G r i d V i e w S t a t e I D i a g r a m T a g A d d i t i o n a l I n f o " / > < / a : K e y V a l u e O f D i a g r a m O b j e c t K e y a n y T y p e z b w N T n L X > < a : K e y V a l u e O f D i a g r a m O b j e c t K e y a n y T y p e z b w N T n L X > < a : K e y > < K e y > M e a s u r e s \ M a x   o f   E�2'F  3A'14\ T a g I n f o \ V a l u e < / K e y > < / a : K e y > < a : V a l u e   i : t y p e = " M e a s u r e G r i d V i e w S t a t e I D i a g r a m T a g A d d i t i o n a l I n f o " / > < / a : K e y V a l u e O f D i a g r a m O b j e c t K e y a n y T y p e z b w N T n L X > < a : K e y V a l u e O f D i a g r a m O b j e c t K e y a n y T y p e z b w N T n L X > < a : K e y > < K e y > M e a s u r e s \ S u m   o f   A�  2 < / K e y > < / a : K e y > < a : V a l u e   i : t y p e = " M e a s u r e G r i d N o d e V i e w S t a t e " > < C o l u m n > 5 < / C o l u m n > < L a y e d O u t > t r u e < / L a y e d O u t > < W a s U I I n v i s i b l e > t r u e < / W a s U I I n v i s i b l e > < / a : V a l u e > < / a : K e y V a l u e O f D i a g r a m O b j e c t K e y a n y T y p e z b w N T n L X > < a : K e y V a l u e O f D i a g r a m O b j e c t K e y a n y T y p e z b w N T n L X > < a : K e y > < K e y > M e a s u r e s \ S u m   o f   A�  2 \ T a g I n f o \ F o r m u l a < / K e y > < / a : K e y > < a : V a l u e   i : t y p e = " M e a s u r e G r i d V i e w S t a t e I D i a g r a m T a g A d d i t i o n a l I n f o " / > < / a : K e y V a l u e O f D i a g r a m O b j e c t K e y a n y T y p e z b w N T n L X > < a : K e y V a l u e O f D i a g r a m O b j e c t K e y a n y T y p e z b w N T n L X > < a : K e y > < K e y > M e a s u r e s \ S u m   o f   A�  2 \ T a g I n f o \ V a l u e < / K e y > < / a : K e y > < a : V a l u e   i : t y p e = " M e a s u r e G r i d V i e w S t a t e I D i a g r a m T a g A d d i t i o n a l I n f o " / > < / a : K e y V a l u e O f D i a g r a m O b j e c t K e y a n y T y p e z b w N T n L X > < a : K e y V a l u e O f D i a g r a m O b j e c t K e y a n y T y p e z b w N T n L X > < a : K e y > < K e y > M e a s u r e s \ A v e r a g e   o f   A�< / K e y > < / a : K e y > < a : V a l u e   i : t y p e = " M e a s u r e G r i d N o d e V i e w S t a t e " > < C o l u m n > 5 < / C o l u m n > < L a y e d O u t > t r u e < / L a y e d O u t > < W a s U I I n v i s i b l e > t r u e < / W a s U I I n v i s i b l e > < / a : V a l u e > < / a : K e y V a l u e O f D i a g r a m O b j e c t K e y a n y T y p e z b w N T n L X > < a : K e y V a l u e O f D i a g r a m O b j e c t K e y a n y T y p e z b w N T n L X > < a : K e y > < K e y > M e a s u r e s \ A v e r a g e   o f   A�\ T a g I n f o \ F o r m u l a < / K e y > < / a : K e y > < a : V a l u e   i : t y p e = " M e a s u r e G r i d V i e w S t a t e I D i a g r a m T a g A d d i t i o n a l I n f o " / > < / a : K e y V a l u e O f D i a g r a m O b j e c t K e y a n y T y p e z b w N T n L X > < a : K e y V a l u e O f D i a g r a m O b j e c t K e y a n y T y p e z b w N T n L X > < a : K e y > < K e y > M e a s u r e s \ A v e r a g e   o f   A�\ T a g I n f o \ V a l u e < / K e y > < / a : K e y > < a : V a l u e   i : t y p e = " M e a s u r e G r i d V i e w S t a t e I D i a g r a m T a g A d d i t i o n a l I n f o " / > < / a : K e y V a l u e O f D i a g r a m O b j e c t K e y a n y T y p e z b w N T n L X > < a : K e y V a l u e O f D i a g r a m O b j e c t K e y a n y T y p e z b w N T n L X > < a : K e y > < K e y > M e a s u r e s \ C o u n t   o f   *'1�.< / K e y > < / a : K e y > < a : V a l u e   i : t y p e = " M e a s u r e G r i d N o d e V i e w S t a t e " > < C o l u m n > 2 < / C o l u m n > < L a y e d O u t > t r u e < / L a y e d O u t > < W a s U I I n v i s i b l e > t r u e < / W a s U I I n v i s i b l e > < / a : V a l u e > < / a : K e y V a l u e O f D i a g r a m O b j e c t K e y a n y T y p e z b w N T n L X > < a : K e y V a l u e O f D i a g r a m O b j e c t K e y a n y T y p e z b w N T n L X > < a : K e y > < K e y > M e a s u r e s \ C o u n t   o f   *'1�.\ T a g I n f o \ F o r m u l a < / K e y > < / a : K e y > < a : V a l u e   i : t y p e = " M e a s u r e G r i d V i e w S t a t e I D i a g r a m T a g A d d i t i o n a l I n f o " / > < / a : K e y V a l u e O f D i a g r a m O b j e c t K e y a n y T y p e z b w N T n L X > < a : K e y V a l u e O f D i a g r a m O b j e c t K e y a n y T y p e z b w N T n L X > < a : K e y > < K e y > M e a s u r e s \ C o u n t   o f   *'1�.\ T a g I n f o \ V a l u e < / K e y > < / a : K e y > < a : V a l u e   i : t y p e = " M e a s u r e G r i d V i e w S t a t e I D i a g r a m T a g A d d i t i o n a l I n f o " / > < / a : K e y V a l u e O f D i a g r a m O b j e c t K e y a n y T y p e z b w N T n L X > < a : K e y V a l u e O f D i a g r a m O b j e c t K e y a n y T y p e z b w N T n L X > < a : K e y > < K e y > M e a s u r e s \ C o u n t   o f   4E'1G  ~�4  A'�*H1  2 < / K e y > < / a : K e y > < a : V a l u e   i : t y p e = " M e a s u r e G r i d N o d e V i e w S t a t e " > < L a y e d O u t > t r u e < / L a y e d O u t > < W a s U I I n v i s i b l e > t r u e < / W a s U I I n v i s i b l e > < / a : V a l u e > < / a : K e y V a l u e O f D i a g r a m O b j e c t K e y a n y T y p e z b w N T n L X > < a : K e y V a l u e O f D i a g r a m O b j e c t K e y a n y T y p e z b w N T n L X > < a : K e y > < K e y > M e a s u r e s \ C o u n t   o f   4E'1G  ~�4  A'�*H1  2 \ T a g I n f o \ F o r m u l a < / K e y > < / a : K e y > < a : V a l u e   i : t y p e = " M e a s u r e G r i d V i e w S t a t e I D i a g r a m T a g A d d i t i o n a l I n f o " / > < / a : K e y V a l u e O f D i a g r a m O b j e c t K e y a n y T y p e z b w N T n L X > < a : K e y V a l u e O f D i a g r a m O b j e c t K e y a n y T y p e z b w N T n L X > < a : K e y > < K e y > M e a s u r e s \ C o u n t   o f   4E'1G  ~�4  A'�*H1  2 \ T a g I n f o \ V a l u e < / K e y > < / a : K e y > < a : V a l u e   i : t y p e = " M e a s u r e G r i d V i e w S t a t e I D i a g r a m T a g A d d i t i o n a l I n f o " / > < / a : K e y V a l u e O f D i a g r a m O b j e c t K e y a n y T y p e z b w N T n L X > < a : K e y V a l u e O f D i a g r a m O b j e c t K e y a n y T y p e z b w N T n L X > < a : K e y > < K e y > M e a s u r e s \ A v e r a g e   o f   E�2'F  3A'14< / K e y > < / a : K e y > < a : V a l u e   i : t y p e = " M e a s u r e G r i d N o d e V i e w S t a t e " > < C o l u m n > 4 < / C o l u m n > < L a y e d O u t > t r u e < / L a y e d O u t > < W a s U I I n v i s i b l e > t r u e < / W a s U I I n v i s i b l e > < / a : V a l u e > < / a : K e y V a l u e O f D i a g r a m O b j e c t K e y a n y T y p e z b w N T n L X > < a : K e y V a l u e O f D i a g r a m O b j e c t K e y a n y T y p e z b w N T n L X > < a : K e y > < K e y > M e a s u r e s \ A v e r a g e   o f   E�2'F  3A'14\ T a g I n f o \ F o r m u l a < / K e y > < / a : K e y > < a : V a l u e   i : t y p e = " M e a s u r e G r i d V i e w S t a t e I D i a g r a m T a g A d d i t i o n a l I n f o " / > < / a : K e y V a l u e O f D i a g r a m O b j e c t K e y a n y T y p e z b w N T n L X > < a : K e y V a l u e O f D i a g r a m O b j e c t K e y a n y T y p e z b w N T n L X > < a : K e y > < K e y > M e a s u r e s \ A v e r a g e   o f   E�2'F  3A'14\ T a g I n f o \ V a l u e < / K e y > < / a : K e y > < a : V a l u e   i : t y p e = " M e a s u r e G r i d V i e w S t a t e I D i a g r a m T a g A d d i t i o n a l I n f o " / > < / a : K e y V a l u e O f D i a g r a m O b j e c t K e y a n y T y p e z b w N T n L X > < a : K e y V a l u e O f D i a g r a m O b j e c t K e y a n y T y p e z b w N T n L X > < a : K e y > < K e y > M e a s u r e s \ S t d D e v   o f   E�2'F  3A'14< / K e y > < / a : K e y > < a : V a l u e   i : t y p e = " M e a s u r e G r i d N o d e V i e w S t a t e " > < C o l u m n > 4 < / C o l u m n > < L a y e d O u t > t r u e < / L a y e d O u t > < R o w > 1 < / R o w > < W a s U I I n v i s i b l e > t r u e < / W a s U I I n v i s i b l e > < / a : V a l u e > < / a : K e y V a l u e O f D i a g r a m O b j e c t K e y a n y T y p e z b w N T n L X > < a : K e y V a l u e O f D i a g r a m O b j e c t K e y a n y T y p e z b w N T n L X > < a : K e y > < K e y > M e a s u r e s \ S t d D e v   o f   E�2'F  3A'14\ T a g I n f o \ F o r m u l a < / K e y > < / a : K e y > < a : V a l u e   i : t y p e = " M e a s u r e G r i d V i e w S t a t e I D i a g r a m T a g A d d i t i o n a l I n f o " / > < / a : K e y V a l u e O f D i a g r a m O b j e c t K e y a n y T y p e z b w N T n L X > < a : K e y V a l u e O f D i a g r a m O b j e c t K e y a n y T y p e z b w N T n L X > < a : K e y > < K e y > M e a s u r e s \ S t d D e v   o f   E�2'F  3A'14\ T a g I n f o \ V a l u e < / K e y > < / a : K e y > < a : V a l u e   i : t y p e = " M e a s u r e G r i d V i e w S t a t e I D i a g r a m T a g A d d i t i o n a l I n f o " / > < / a : K e y V a l u e O f D i a g r a m O b j e c t K e y a n y T y p e z b w N T n L X > < a : K e y V a l u e O f D i a g r a m O b j e c t K e y a n y T y p e z b w N T n L X > < a : K e y > < K e y > M e a s u r e s \ S t d D e v p   o f   E�2'F  3A'14< / K e y > < / a : K e y > < a : V a l u e   i : t y p e = " M e a s u r e G r i d N o d e V i e w S t a t e " > < C o l u m n > 4 < / C o l u m n > < L a y e d O u t > t r u e < / L a y e d O u t > < R o w > 2 < / R o w > < W a s U I I n v i s i b l e > t r u e < / W a s U I I n v i s i b l e > < / a : V a l u e > < / a : K e y V a l u e O f D i a g r a m O b j e c t K e y a n y T y p e z b w N T n L X > < a : K e y V a l u e O f D i a g r a m O b j e c t K e y a n y T y p e z b w N T n L X > < a : K e y > < K e y > M e a s u r e s \ S t d D e v p   o f   E�2'F  3A'14\ T a g I n f o \ F o r m u l a < / K e y > < / a : K e y > < a : V a l u e   i : t y p e = " M e a s u r e G r i d V i e w S t a t e I D i a g r a m T a g A d d i t i o n a l I n f o " / > < / a : K e y V a l u e O f D i a g r a m O b j e c t K e y a n y T y p e z b w N T n L X > < a : K e y V a l u e O f D i a g r a m O b j e c t K e y a n y T y p e z b w N T n L X > < a : K e y > < K e y > M e a s u r e s \ S t d D e v p   o f   E�2'F  3A'14\ T a g I n f o \ V a l u e < / K e y > < / a : K e y > < a : V a l u e   i : t y p e = " M e a s u r e G r i d V i e w S t a t e I D i a g r a m T a g A d d i t i o n a l I n f o " / > < / a : K e y V a l u e O f D i a g r a m O b j e c t K e y a n y T y p e z b w N T n L X > < a : K e y V a l u e O f D i a g r a m O b j e c t K e y a n y T y p e z b w N T n L X > < a : K e y > < K e y > M e a s u r e s \ V a r   o f   E�2'F  3A'14< / K e y > < / a : K e y > < a : V a l u e   i : t y p e = " M e a s u r e G r i d N o d e V i e w S t a t e " > < C o l u m n > 4 < / C o l u m n > < L a y e d O u t > t r u e < / L a y e d O u t > < R o w > 3 < / R o w > < W a s U I I n v i s i b l e > t r u e < / W a s U I I n v i s i b l e > < / a : V a l u e > < / a : K e y V a l u e O f D i a g r a m O b j e c t K e y a n y T y p e z b w N T n L X > < a : K e y V a l u e O f D i a g r a m O b j e c t K e y a n y T y p e z b w N T n L X > < a : K e y > < K e y > M e a s u r e s \ V a r   o f   E�2'F  3A'14\ T a g I n f o \ F o r m u l a < / K e y > < / a : K e y > < a : V a l u e   i : t y p e = " M e a s u r e G r i d V i e w S t a t e I D i a g r a m T a g A d d i t i o n a l I n f o " / > < / a : K e y V a l u e O f D i a g r a m O b j e c t K e y a n y T y p e z b w N T n L X > < a : K e y V a l u e O f D i a g r a m O b j e c t K e y a n y T y p e z b w N T n L X > < a : K e y > < K e y > M e a s u r e s \ V a r   o f   E�2'F  3A'14\ T a g I n f o \ V a l u e < / K e y > < / a : K e y > < a : V a l u e   i : t y p e = " M e a s u r e G r i d V i e w S t a t e I D i a g r a m T a g A d d i t i o n a l I n f o " / > < / a : K e y V a l u e O f D i a g r a m O b j e c t K e y a n y T y p e z b w N T n L X > < a : K e y V a l u e O f D i a g r a m O b j e c t K e y a n y T y p e z b w N T n L X > < a : K e y > < K e y > M e a s u r e s \ S u m   o f   /15/  E�2'F  ('1��1�  4/G< / K e y > < / a : K e y > < a : V a l u e   i : t y p e = " M e a s u r e G r i d N o d e V i e w S t a t e " > < C o l u m n > 1 4 < / C o l u m n > < L a y e d O u t > t r u e < / L a y e d O u t > < W a s U I I n v i s i b l e > t r u e < / W a s U I I n v i s i b l e > < / a : V a l u e > < / a : K e y V a l u e O f D i a g r a m O b j e c t K e y a n y T y p e z b w N T n L X > < a : K e y V a l u e O f D i a g r a m O b j e c t K e y a n y T y p e z b w N T n L X > < a : K e y > < K e y > M e a s u r e s \ S u m   o f   /15/  E�2'F  ('1��1�  4/G\ T a g I n f o \ F o r m u l a < / K e y > < / a : K e y > < a : V a l u e   i : t y p e = " M e a s u r e G r i d V i e w S t a t e I D i a g r a m T a g A d d i t i o n a l I n f o " / > < / a : K e y V a l u e O f D i a g r a m O b j e c t K e y a n y T y p e z b w N T n L X > < a : K e y V a l u e O f D i a g r a m O b j e c t K e y a n y T y p e z b w N T n L X > < a : K e y > < K e y > M e a s u r e s \ S u m   o f   /15/  E�2'F  ('1��1�  4/G\ T a g I n f o \ V a l u e < / K e y > < / a : K e y > < a : V a l u e   i : t y p e = " M e a s u r e G r i d V i e w S t a t e I D i a g r a m T a g A d d i t i o n a l I n f o " / > < / a : K e y V a l u e O f D i a g r a m O b j e c t K e y a n y T y p e z b w N T n L X > < a : K e y V a l u e O f D i a g r a m O b j e c t K e y a n y T y p e z b w N T n L X > < a : K e y > < K e y > C o l u m n s \ 4E'1G  ~�4  A'�*H1< / K e y > < / a : K e y > < a : V a l u e   i : t y p e = " M e a s u r e G r i d N o d e V i e w S t a t e " > < L a y e d O u t > t r u e < / L a y e d O u t > < / a : V a l u e > < / a : K e y V a l u e O f D i a g r a m O b j e c t K e y a n y T y p e z b w N T n L X > < a : K e y V a l u e O f D i a g r a m O b j e c t K e y a n y T y p e z b w N T n L X > < a : K e y > < K e y > C o l u m n s \ F'E  E4*1�< / K e y > < / a : K e y > < a : V a l u e   i : t y p e = " M e a s u r e G r i d N o d e V i e w S t a t e " > < C o l u m n > 1 < / C o l u m n > < L a y e d O u t > t r u e < / L a y e d O u t > < / a : V a l u e > < / a : K e y V a l u e O f D i a g r a m O b j e c t K e y a n y T y p e z b w N T n L X > < a : K e y V a l u e O f D i a g r a m O b j e c t K e y a n y T y p e z b w N T n L X > < a : K e y > < K e y > C o l u m n s \ *'1�.< / K e y > < / a : K e y > < a : V a l u e   i : t y p e = " M e a s u r e G r i d N o d e V i e w S t a t e " > < C o l u m n > 2 < / C o l u m n > < L a y e d O u t > t r u e < / L a y e d O u t > < / a : V a l u e > < / a : K e y V a l u e O f D i a g r a m O b j e c t K e y a n y T y p e z b w N T n L X > < a : K e y V a l u e O f D i a g r a m O b j e c t K e y a n y T y p e z b w N T n L X > < a : K e y > < K e y > C o l u m n s \ *'1�.  E,H2  (G1G  (1/'1�< / K e y > < / a : K e y > < a : V a l u e   i : t y p e = " M e a s u r e G r i d N o d e V i e w S t a t e " > < C o l u m n > 3 < / C o l u m n > < L a y e d O u t > t r u e < / L a y e d O u t > < / a : V a l u e > < / a : K e y V a l u e O f D i a g r a m O b j e c t K e y a n y T y p e z b w N T n L X > < a : K e y V a l u e O f D i a g r a m O b j e c t K e y a n y T y p e z b w N T n L X > < a : K e y > < K e y > C o l u m n s \ E�2'F  3A'14< / K e y > < / a : K e y > < a : V a l u e   i : t y p e = " M e a s u r e G r i d N o d e V i e w S t a t e " > < C o l u m n > 4 < / C o l u m n > < L a y e d O u t > t r u e < / L a y e d O u t > < / a : V a l u e > < / a : K e y V a l u e O f D i a g r a m O b j e c t K e y a n y T y p e z b w N T n L X > < a : K e y V a l u e O f D i a g r a m O b j e c t K e y a n y T y p e z b w N T n L X > < a : K e y > < K e y > C o l u m n s \ A�< / K e y > < / a : K e y > < a : V a l u e   i : t y p e = " M e a s u r e G r i d N o d e V i e w S t a t e " > < C o l u m n > 5 < / C o l u m n > < L a y e d O u t > t r u e < / L a y e d O u t > < / a : V a l u e > < / a : K e y V a l u e O f D i a g r a m O b j e c t K e y a n y T y p e z b w N T n L X > < a : K e y V a l u e O f D i a g r a m O b j e c t K e y a n y T y p e z b w N T n L X > < a : K e y > < K e y > C o l u m n s \ E'G< / K e y > < / a : K e y > < a : V a l u e   i : t y p e = " M e a s u r e G r i d N o d e V i e w S t a t e " > < C o l u m n > 6 < / C o l u m n > < L a y e d O u t > t r u e < / L a y e d O u t > < / a : V a l u e > < / a : K e y V a l u e O f D i a g r a m O b j e c t K e y a n y T y p e z b w N T n L X > < a : K e y V a l u e O f D i a g r a m O b j e c t K e y a n y T y p e z b w N T n L X > < a : K e y > < K e y > C o l u m n s \ 3'D< / K e y > < / a : K e y > < a : V a l u e   i : t y p e = " M e a s u r e G r i d N o d e V i e w S t a t e " > < C o l u m n > 7 < / C o l u m n > < L a y e d O u t > t r u e < / L a y e d O u t > < / a : V a l u e > < / a : K e y V a l u e O f D i a g r a m O b j e c t K e y a n y T y p e z b w N T n L X > < a : K e y V a l u e O f D i a g r a m O b j e c t K e y a n y T y p e z b w N T n L X > < a : K e y > < K e y > C o l u m n s \ FH9  3A'14< / K e y > < / a : K e y > < a : V a l u e   i : t y p e = " M e a s u r e G r i d N o d e V i e w S t a t e " > < C o l u m n > 8 < / C o l u m n > < L a y e d O u t > t r u e < / L a y e d O u t > < / a : V a l u e > < / a : K e y V a l u e O f D i a g r a m O b j e c t K e y a n y T y p e z b w N T n L X > < a : K e y V a l u e O f D i a g r a m O b j e c t K e y a n y T y p e z b w N T n L X > < a : K e y > < K e y > C o l u m n s \ FH9  41�*< / K e y > < / a : K e y > < a : V a l u e   i : t y p e = " M e a s u r e G r i d N o d e V i e w S t a t e " > < C o l u m n > 9 < / C o l u m n > < L a y e d O u t > t r u e < / L a y e d O u t > < / a : V a l u e > < / a : K e y V a l u e O f D i a g r a m O b j e c t K e y a n y T y p e z b w N T n L X > < a : K e y V a l u e O f D i a g r a m O b j e c t K e y a n y T y p e z b w N T n L X > < a : K e y > < K e y > C o l u m n s \ *'1�.  'FB6'< / K e y > < / a : K e y > < a : V a l u e   i : t y p e = " M e a s u r e G r i d N o d e V i e w S t a t e " > < C o l u m n > 1 0 < / C o l u m n > < L a y e d O u t > t r u e < / L a y e d O u t > < / a : V a l u e > < / a : K e y V a l u e O f D i a g r a m O b j e c t K e y a n y T y p e z b w N T n L X > < a : K e y V a l u e O f D i a g r a m O b j e c t K e y a n y T y p e z b w N T n L X > < a : K e y > < K e y > C o l u m n s \ �E��< / K e y > < / a : K e y > < a : V a l u e   i : t y p e = " M e a s u r e G r i d N o d e V i e w S t a t e " > < C o l u m n > 1 1 < / C o l u m n > < L a y e d O u t > t r u e < / L a y e d O u t > < / a : V a l u e > < / a : K e y V a l u e O f D i a g r a m O b j e c t K e y a n y T y p e z b w N T n L X > < a : K e y V a l u e O f D i a g r a m O b j e c t K e y a n y T y p e z b w N T n L X > < a : K e y > < K e y > C o l u m n s \ /15/  E(D:  ~�4  /1�'A*< / K e y > < / a : K e y > < a : V a l u e   i : t y p e = " M e a s u r e G r i d N o d e V i e w S t a t e " > < C o l u m n > 1 2 < / C o l u m n > < L a y e d O u t > t r u e < / L a y e d O u t > < / a : V a l u e > < / a : K e y V a l u e O f D i a g r a m O b j e c t K e y a n y T y p e z b w N T n L X > < a : K e y V a l u e O f D i a g r a m O b j e c t K e y a n y T y p e z b w N T n L X > < a : K e y > < K e y > C o l u m n s \ '124  'A2H/G< / K e y > < / a : K e y > < a : V a l u e   i : t y p e = " M e a s u r e G r i d N o d e V i e w S t a t e " > < C o l u m n > 1 3 < / C o l u m n > < L a y e d O u t > t r u e < / L a y e d O u t > < / a : V a l u e > < / a : K e y V a l u e O f D i a g r a m O b j e c t K e y a n y T y p e z b w N T n L X > < a : K e y V a l u e O f D i a g r a m O b j e c t K e y a n y T y p e z b w N T n L X > < a : K e y > < K e y > C o l u m n s \ /15/  E�2'F  ('1��1�  4/G< / K e y > < / a : K e y > < a : V a l u e   i : t y p e = " M e a s u r e G r i d N o d e V i e w S t a t e " > < C o l u m n > 1 4 < / C o l u m n > < L a y e d O u t > t r u e < / L a y e d O u t > < / a : V a l u e > < / a : K e y V a l u e O f D i a g r a m O b j e c t K e y a n y T y p e z b w N T n L X > < a : K e y V a l u e O f D i a g r a m O b j e c t K e y a n y T y p e z b w N T n L X > < a : K e y > < K e y > C o l u m n s \ C a l c u l a t e d   C o l u m n   1 < / K e y > < / a : K e y > < a : V a l u e   i : t y p e = " M e a s u r e G r i d N o d e V i e w S t a t e " > < C o l u m n > 1 5 < / C o l u m n > < L a y e d O u t > t r u e < / L a y e d O u t > < / a : V a l u e > < / a : K e y V a l u e O f D i a g r a m O b j e c t K e y a n y T y p e z b w N T n L X > < a : K e y V a l u e O f D i a g r a m O b j e c t K e y a n y T y p e z b w N T n L X > < a : K e y > < K e y > L i n k s \ & l t ; C o l u m n s \ S u m   o f   E�2'F  3A'14& g t ; - & l t ; M e a s u r e s \ E�2'F  3A'14& g t ; < / K e y > < / a : K e y > < a : V a l u e   i : t y p e = " M e a s u r e G r i d V i e w S t a t e I D i a g r a m L i n k " / > < / a : K e y V a l u e O f D i a g r a m O b j e c t K e y a n y T y p e z b w N T n L X > < a : K e y V a l u e O f D i a g r a m O b j e c t K e y a n y T y p e z b w N T n L X > < a : K e y > < K e y > L i n k s \ & l t ; C o l u m n s \ S u m   o f   E�2'F  3A'14& g t ; - & l t ; M e a s u r e s \ E�2'F  3A'14& g t ; \ C O L U M N < / K e y > < / a : K e y > < a : V a l u e   i : t y p e = " M e a s u r e G r i d V i e w S t a t e I D i a g r a m L i n k E n d p o i n t " / > < / a : K e y V a l u e O f D i a g r a m O b j e c t K e y a n y T y p e z b w N T n L X > < a : K e y V a l u e O f D i a g r a m O b j e c t K e y a n y T y p e z b w N T n L X > < a : K e y > < K e y > L i n k s \ & l t ; C o l u m n s \ S u m   o f   E�2'F  3A'14& g t ; - & l t ; M e a s u r e s \ E�2'F  3A'14& g t ; \ M E A S U R E < / K e y > < / a : K e y > < a : V a l u e   i : t y p e = " M e a s u r e G r i d V i e w S t a t e I D i a g r a m L i n k E n d p o i n t " / > < / a : K e y V a l u e O f D i a g r a m O b j e c t K e y a n y T y p e z b w N T n L X > < a : K e y V a l u e O f D i a g r a m O b j e c t K e y a n y T y p e z b w N T n L X > < a : K e y > < K e y > L i n k s \ & l t ; C o l u m n s \ M a x   o f   E�2'F  3A'14& g t ; - & l t ; M e a s u r e s \ E�2'F  3A'14& g t ; < / K e y > < / a : K e y > < a : V a l u e   i : t y p e = " M e a s u r e G r i d V i e w S t a t e I D i a g r a m L i n k " / > < / a : K e y V a l u e O f D i a g r a m O b j e c t K e y a n y T y p e z b w N T n L X > < a : K e y V a l u e O f D i a g r a m O b j e c t K e y a n y T y p e z b w N T n L X > < a : K e y > < K e y > L i n k s \ & l t ; C o l u m n s \ M a x   o f   E�2'F  3A'14& g t ; - & l t ; M e a s u r e s \ E�2'F  3A'14& g t ; \ C O L U M N < / K e y > < / a : K e y > < a : V a l u e   i : t y p e = " M e a s u r e G r i d V i e w S t a t e I D i a g r a m L i n k E n d p o i n t " / > < / a : K e y V a l u e O f D i a g r a m O b j e c t K e y a n y T y p e z b w N T n L X > < a : K e y V a l u e O f D i a g r a m O b j e c t K e y a n y T y p e z b w N T n L X > < a : K e y > < K e y > L i n k s \ & l t ; C o l u m n s \ M a x   o f   E�2'F  3A'14& g t ; - & l t ; M e a s u r e s \ E�2'F  3A'14& g t ; \ M E A S U R E < / K e y > < / a : K e y > < a : V a l u e   i : t y p e = " M e a s u r e G r i d V i e w S t a t e I D i a g r a m L i n k E n d p o i n t " / > < / a : K e y V a l u e O f D i a g r a m O b j e c t K e y a n y T y p e z b w N T n L X > < a : K e y V a l u e O f D i a g r a m O b j e c t K e y a n y T y p e z b w N T n L X > < a : K e y > < K e y > L i n k s \ & l t ; C o l u m n s \ S u m   o f   A�  2 & g t ; - & l t ; M e a s u r e s \ A�& g t ; < / K e y > < / a : K e y > < a : V a l u e   i : t y p e = " M e a s u r e G r i d V i e w S t a t e I D i a g r a m L i n k " / > < / a : K e y V a l u e O f D i a g r a m O b j e c t K e y a n y T y p e z b w N T n L X > < a : K e y V a l u e O f D i a g r a m O b j e c t K e y a n y T y p e z b w N T n L X > < a : K e y > < K e y > L i n k s \ & l t ; C o l u m n s \ S u m   o f   A�  2 & g t ; - & l t ; M e a s u r e s \ A�& g t ; \ C O L U M N < / K e y > < / a : K e y > < a : V a l u e   i : t y p e = " M e a s u r e G r i d V i e w S t a t e I D i a g r a m L i n k E n d p o i n t " / > < / a : K e y V a l u e O f D i a g r a m O b j e c t K e y a n y T y p e z b w N T n L X > < a : K e y V a l u e O f D i a g r a m O b j e c t K e y a n y T y p e z b w N T n L X > < a : K e y > < K e y > L i n k s \ & l t ; C o l u m n s \ S u m   o f   A�  2 & g t ; - & l t ; M e a s u r e s \ A�& g t ; \ M E A S U R E < / K e y > < / a : K e y > < a : V a l u e   i : t y p e = " M e a s u r e G r i d V i e w S t a t e I D i a g r a m L i n k E n d p o i n t " / > < / a : K e y V a l u e O f D i a g r a m O b j e c t K e y a n y T y p e z b w N T n L X > < a : K e y V a l u e O f D i a g r a m O b j e c t K e y a n y T y p e z b w N T n L X > < a : K e y > < K e y > L i n k s \ & l t ; C o l u m n s \ A v e r a g e   o f   A�& g t ; - & l t ; M e a s u r e s \ A�& g t ; < / K e y > < / a : K e y > < a : V a l u e   i : t y p e = " M e a s u r e G r i d V i e w S t a t e I D i a g r a m L i n k " / > < / a : K e y V a l u e O f D i a g r a m O b j e c t K e y a n y T y p e z b w N T n L X > < a : K e y V a l u e O f D i a g r a m O b j e c t K e y a n y T y p e z b w N T n L X > < a : K e y > < K e y > L i n k s \ & l t ; C o l u m n s \ A v e r a g e   o f   A�& g t ; - & l t ; M e a s u r e s \ A�& g t ; \ C O L U M N < / K e y > < / a : K e y > < a : V a l u e   i : t y p e = " M e a s u r e G r i d V i e w S t a t e I D i a g r a m L i n k E n d p o i n t " / > < / a : K e y V a l u e O f D i a g r a m O b j e c t K e y a n y T y p e z b w N T n L X > < a : K e y V a l u e O f D i a g r a m O b j e c t K e y a n y T y p e z b w N T n L X > < a : K e y > < K e y > L i n k s \ & l t ; C o l u m n s \ A v e r a g e   o f   A�& g t ; - & l t ; M e a s u r e s \ A�& g t ; \ M E A S U R E < / K e y > < / a : K e y > < a : V a l u e   i : t y p e = " M e a s u r e G r i d V i e w S t a t e I D i a g r a m L i n k E n d p o i n t " / > < / a : K e y V a l u e O f D i a g r a m O b j e c t K e y a n y T y p e z b w N T n L X > < a : K e y V a l u e O f D i a g r a m O b j e c t K e y a n y T y p e z b w N T n L X > < a : K e y > < K e y > L i n k s \ & l t ; C o l u m n s \ C o u n t   o f   *'1�.& g t ; - & l t ; M e a s u r e s \ *'1�.& g t ; < / K e y > < / a : K e y > < a : V a l u e   i : t y p e = " M e a s u r e G r i d V i e w S t a t e I D i a g r a m L i n k " / > < / a : K e y V a l u e O f D i a g r a m O b j e c t K e y a n y T y p e z b w N T n L X > < a : K e y V a l u e O f D i a g r a m O b j e c t K e y a n y T y p e z b w N T n L X > < a : K e y > < K e y > L i n k s \ & l t ; C o l u m n s \ C o u n t   o f   *'1�.& g t ; - & l t ; M e a s u r e s \ *'1�.& g t ; \ C O L U M N < / K e y > < / a : K e y > < a : V a l u e   i : t y p e = " M e a s u r e G r i d V i e w S t a t e I D i a g r a m L i n k E n d p o i n t " / > < / a : K e y V a l u e O f D i a g r a m O b j e c t K e y a n y T y p e z b w N T n L X > < a : K e y V a l u e O f D i a g r a m O b j e c t K e y a n y T y p e z b w N T n L X > < a : K e y > < K e y > L i n k s \ & l t ; C o l u m n s \ C o u n t   o f   *'1�.& g t ; - & l t ; M e a s u r e s \ *'1�.& g t ; \ M E A S U R E < / K e y > < / a : K e y > < a : V a l u e   i : t y p e = " M e a s u r e G r i d V i e w S t a t e I D i a g r a m L i n k E n d p o i n t " / > < / a : K e y V a l u e O f D i a g r a m O b j e c t K e y a n y T y p e z b w N T n L X > < a : K e y V a l u e O f D i a g r a m O b j e c t K e y a n y T y p e z b w N T n L X > < a : K e y > < K e y > L i n k s \ & l t ; C o l u m n s \ C o u n t   o f   4E'1G  ~�4  A'�*H1  2 & g t ; - & l t ; M e a s u r e s \ 4E'1G  ~�4  A'�*H1& g t ; < / K e y > < / a : K e y > < a : V a l u e   i : t y p e = " M e a s u r e G r i d V i e w S t a t e I D i a g r a m L i n k " / > < / a : K e y V a l u e O f D i a g r a m O b j e c t K e y a n y T y p e z b w N T n L X > < a : K e y V a l u e O f D i a g r a m O b j e c t K e y a n y T y p e z b w N T n L X > < a : K e y > < K e y > L i n k s \ & l t ; C o l u m n s \ C o u n t   o f   4E'1G  ~�4  A'�*H1  2 & g t ; - & l t ; M e a s u r e s \ 4E'1G  ~�4  A'�*H1& g t ; \ C O L U M N < / K e y > < / a : K e y > < a : V a l u e   i : t y p e = " M e a s u r e G r i d V i e w S t a t e I D i a g r a m L i n k E n d p o i n t " / > < / a : K e y V a l u e O f D i a g r a m O b j e c t K e y a n y T y p e z b w N T n L X > < a : K e y V a l u e O f D i a g r a m O b j e c t K e y a n y T y p e z b w N T n L X > < a : K e y > < K e y > L i n k s \ & l t ; C o l u m n s \ C o u n t   o f   4E'1G  ~�4  A'�*H1  2 & g t ; - & l t ; M e a s u r e s \ 4E'1G  ~�4  A'�*H1& g t ; \ M E A S U R E < / K e y > < / a : K e y > < a : V a l u e   i : t y p e = " M e a s u r e G r i d V i e w S t a t e I D i a g r a m L i n k E n d p o i n t " / > < / a : K e y V a l u e O f D i a g r a m O b j e c t K e y a n y T y p e z b w N T n L X > < a : K e y V a l u e O f D i a g r a m O b j e c t K e y a n y T y p e z b w N T n L X > < a : K e y > < K e y > L i n k s \ & l t ; C o l u m n s \ A v e r a g e   o f   E�2'F  3A'14& g t ; - & l t ; M e a s u r e s \ E�2'F  3A'14& g t ; < / K e y > < / a : K e y > < a : V a l u e   i : t y p e = " M e a s u r e G r i d V i e w S t a t e I D i a g r a m L i n k " / > < / a : K e y V a l u e O f D i a g r a m O b j e c t K e y a n y T y p e z b w N T n L X > < a : K e y V a l u e O f D i a g r a m O b j e c t K e y a n y T y p e z b w N T n L X > < a : K e y > < K e y > L i n k s \ & l t ; C o l u m n s \ A v e r a g e   o f   E�2'F  3A'14& g t ; - & l t ; M e a s u r e s \ E�2'F  3A'14& g t ; \ C O L U M N < / K e y > < / a : K e y > < a : V a l u e   i : t y p e = " M e a s u r e G r i d V i e w S t a t e I D i a g r a m L i n k E n d p o i n t " / > < / a : K e y V a l u e O f D i a g r a m O b j e c t K e y a n y T y p e z b w N T n L X > < a : K e y V a l u e O f D i a g r a m O b j e c t K e y a n y T y p e z b w N T n L X > < a : K e y > < K e y > L i n k s \ & l t ; C o l u m n s \ A v e r a g e   o f   E�2'F  3A'14& g t ; - & l t ; M e a s u r e s \ E�2'F  3A'14& g t ; \ M E A S U R E < / K e y > < / a : K e y > < a : V a l u e   i : t y p e = " M e a s u r e G r i d V i e w S t a t e I D i a g r a m L i n k E n d p o i n t " / > < / a : K e y V a l u e O f D i a g r a m O b j e c t K e y a n y T y p e z b w N T n L X > < a : K e y V a l u e O f D i a g r a m O b j e c t K e y a n y T y p e z b w N T n L X > < a : K e y > < K e y > L i n k s \ & l t ; C o l u m n s \ S t d D e v   o f   E�2'F  3A'14& g t ; - & l t ; M e a s u r e s \ E�2'F  3A'14& g t ; < / K e y > < / a : K e y > < a : V a l u e   i : t y p e = " M e a s u r e G r i d V i e w S t a t e I D i a g r a m L i n k " / > < / a : K e y V a l u e O f D i a g r a m O b j e c t K e y a n y T y p e z b w N T n L X > < a : K e y V a l u e O f D i a g r a m O b j e c t K e y a n y T y p e z b w N T n L X > < a : K e y > < K e y > L i n k s \ & l t ; C o l u m n s \ S t d D e v   o f   E�2'F  3A'14& g t ; - & l t ; M e a s u r e s \ E�2'F  3A'14& g t ; \ C O L U M N < / K e y > < / a : K e y > < a : V a l u e   i : t y p e = " M e a s u r e G r i d V i e w S t a t e I D i a g r a m L i n k E n d p o i n t " / > < / a : K e y V a l u e O f D i a g r a m O b j e c t K e y a n y T y p e z b w N T n L X > < a : K e y V a l u e O f D i a g r a m O b j e c t K e y a n y T y p e z b w N T n L X > < a : K e y > < K e y > L i n k s \ & l t ; C o l u m n s \ S t d D e v   o f   E�2'F  3A'14& g t ; - & l t ; M e a s u r e s \ E�2'F  3A'14& g t ; \ M E A S U R E < / K e y > < / a : K e y > < a : V a l u e   i : t y p e = " M e a s u r e G r i d V i e w S t a t e I D i a g r a m L i n k E n d p o i n t " / > < / a : K e y V a l u e O f D i a g r a m O b j e c t K e y a n y T y p e z b w N T n L X > < a : K e y V a l u e O f D i a g r a m O b j e c t K e y a n y T y p e z b w N T n L X > < a : K e y > < K e y > L i n k s \ & l t ; C o l u m n s \ S t d D e v p   o f   E�2'F  3A'14& g t ; - & l t ; M e a s u r e s \ E�2'F  3A'14& g t ; < / K e y > < / a : K e y > < a : V a l u e   i : t y p e = " M e a s u r e G r i d V i e w S t a t e I D i a g r a m L i n k " / > < / a : K e y V a l u e O f D i a g r a m O b j e c t K e y a n y T y p e z b w N T n L X > < a : K e y V a l u e O f D i a g r a m O b j e c t K e y a n y T y p e z b w N T n L X > < a : K e y > < K e y > L i n k s \ & l t ; C o l u m n s \ S t d D e v p   o f   E�2'F  3A'14& g t ; - & l t ; M e a s u r e s \ E�2'F  3A'14& g t ; \ C O L U M N < / K e y > < / a : K e y > < a : V a l u e   i : t y p e = " M e a s u r e G r i d V i e w S t a t e I D i a g r a m L i n k E n d p o i n t " / > < / a : K e y V a l u e O f D i a g r a m O b j e c t K e y a n y T y p e z b w N T n L X > < a : K e y V a l u e O f D i a g r a m O b j e c t K e y a n y T y p e z b w N T n L X > < a : K e y > < K e y > L i n k s \ & l t ; C o l u m n s \ S t d D e v p   o f   E�2'F  3A'14& g t ; - & l t ; M e a s u r e s \ E�2'F  3A'14& g t ; \ M E A S U R E < / K e y > < / a : K e y > < a : V a l u e   i : t y p e = " M e a s u r e G r i d V i e w S t a t e I D i a g r a m L i n k E n d p o i n t " / > < / a : K e y V a l u e O f D i a g r a m O b j e c t K e y a n y T y p e z b w N T n L X > < a : K e y V a l u e O f D i a g r a m O b j e c t K e y a n y T y p e z b w N T n L X > < a : K e y > < K e y > L i n k s \ & l t ; C o l u m n s \ V a r   o f   E�2'F  3A'14& g t ; - & l t ; M e a s u r e s \ E�2'F  3A'14& g t ; < / K e y > < / a : K e y > < a : V a l u e   i : t y p e = " M e a s u r e G r i d V i e w S t a t e I D i a g r a m L i n k " / > < / a : K e y V a l u e O f D i a g r a m O b j e c t K e y a n y T y p e z b w N T n L X > < a : K e y V a l u e O f D i a g r a m O b j e c t K e y a n y T y p e z b w N T n L X > < a : K e y > < K e y > L i n k s \ & l t ; C o l u m n s \ V a r   o f   E�2'F  3A'14& g t ; - & l t ; M e a s u r e s \ E�2'F  3A'14& g t ; \ C O L U M N < / K e y > < / a : K e y > < a : V a l u e   i : t y p e = " M e a s u r e G r i d V i e w S t a t e I D i a g r a m L i n k E n d p o i n t " / > < / a : K e y V a l u e O f D i a g r a m O b j e c t K e y a n y T y p e z b w N T n L X > < a : K e y V a l u e O f D i a g r a m O b j e c t K e y a n y T y p e z b w N T n L X > < a : K e y > < K e y > L i n k s \ & l t ; C o l u m n s \ V a r   o f   E�2'F  3A'14& g t ; - & l t ; M e a s u r e s \ E�2'F  3A'14& g t ; \ M E A S U R E < / K e y > < / a : K e y > < a : V a l u e   i : t y p e = " M e a s u r e G r i d V i e w S t a t e I D i a g r a m L i n k E n d p o i n t " / > < / a : K e y V a l u e O f D i a g r a m O b j e c t K e y a n y T y p e z b w N T n L X > < a : K e y V a l u e O f D i a g r a m O b j e c t K e y a n y T y p e z b w N T n L X > < a : K e y > < K e y > L i n k s \ & l t ; C o l u m n s \ S u m   o f   /15/  E�2'F  ('1��1�  4/G& g t ; - & l t ; M e a s u r e s \ /15/  E�2'F  ('1��1�  4/G& g t ; < / K e y > < / a : K e y > < a : V a l u e   i : t y p e = " M e a s u r e G r i d V i e w S t a t e I D i a g r a m L i n k " / > < / a : K e y V a l u e O f D i a g r a m O b j e c t K e y a n y T y p e z b w N T n L X > < a : K e y V a l u e O f D i a g r a m O b j e c t K e y a n y T y p e z b w N T n L X > < a : K e y > < K e y > L i n k s \ & l t ; C o l u m n s \ S u m   o f   /15/  E�2'F  ('1��1�  4/G& g t ; - & l t ; M e a s u r e s \ /15/  E�2'F  ('1��1�  4/G& g t ; \ C O L U M N < / K e y > < / a : K e y > < a : V a l u e   i : t y p e = " M e a s u r e G r i d V i e w S t a t e I D i a g r a m L i n k E n d p o i n t " / > < / a : K e y V a l u e O f D i a g r a m O b j e c t K e y a n y T y p e z b w N T n L X > < a : K e y V a l u e O f D i a g r a m O b j e c t K e y a n y T y p e z b w N T n L X > < a : K e y > < K e y > L i n k s \ & l t ; C o l u m n s \ S u m   o f   /15/  E�2'F  ('1��1�  4/G& g t ; - & l t ; M e a s u r e s \ /15/  E�2'F  ('1��1�  4/G& g t ; \ M E A S U R E < / K e y > < / a : K e y > < a : V a l u e   i : t y p e = " M e a s u r e G r i d V i e w S t a t e I D i a g r a m L i n k E n d p o i n t " / > < / a : K e y V a l u e O f D i a g r a m O b j e c t K e y a n y T y p e z b w N T n L X > < / V i e w S t a t e s > < / D i a g r a m M a n a g e r . S e r i a l i z a b l e D i a g r a m > < / A r r a y O f D i a g r a m M a n a g e r . S e r i a l i z a b l e D i a g r a m > ] ] > < / 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 b a r g i r i < / K e y > < V a l u e   x m l n s : a = " h t t p : / / s c h e m a s . d a t a c o n t r a c t . o r g / 2 0 0 4 / 0 7 / M i c r o s o f t . A n a l y s i s S e r v i c e s . C o m m o n " > < a : H a s F o c u s > f a l s e < / a : H a s F o c u s > < a : S i z e A t D p i 9 6 > 1 1 7 < / a : S i z e A t D p i 9 6 > < a : V i s i b l e > t r u e < / a : V i s i b l e > < / V a l u e > < / K e y V a l u e O f s t r i n g S a n d b o x E d i t o r . M e a s u r e G r i d S t a t e S c d E 3 5 R y > < K e y V a l u e O f s t r i n g S a n d b o x E d i t o r . M e a s u r e G r i d S t a t e S c d E 3 5 R y > < K e y > i n v o i c e < / K e y > < V a l u e   x m l n s : a = " h t t p : / / s c h e m a s . d a t a c o n t r a c t . o r g / 2 0 0 4 / 0 7 / M i c r o s o f t . A n a l y s i s S e r v i c e s . C o m m o n " > < a : H a s F o c u s > t r u e < / a : H a s F o c u s > < a : S i z e A t D p i 9 6 > 1 1 7 < / a : S i z e A t D p i 9 6 > < a : V i s i b l e > t r u e < / a : V i s i b l e > < / V a l u e > < / K e y V a l u e O f s t r i n g S a n d b o x E d i t o r . M e a s u r e G r i d S t a t e S c d E 3 5 R y > < K e y V a l u e O f s t r i n g S a n d b o x E d i t o r . M e a s u r e G r i d S t a t e S c d E 3 5 R y > < K e y > T a b l e 1 < / K e y > < V a l u e   x m l n s : a = " h t t p : / / s c h e m a s . d a t a c o n t r a c t . o r g / 2 0 0 4 / 0 7 / M i c r o s o f t . A n a l y s i s S e r v i c e s . C o m m o n " > < a : H a s F o c u s > f a l s e < / a : H a s F o c u s > < a : S i z e A t D p i 9 6 > 1 1 7 < / a : S i z e A t D p i 9 6 > < a : V i s i b l e > t r u e < / a : V i s i b l e > < / V a l u e > < / K e y V a l u e O f s t r i n g S a n d b o x E d i t o r . M e a s u r e G r i d S t a t e S c d E 3 5 R y > < K e y V a l u e O f s t r i n g S a n d b o x E d i t o r . M e a s u r e G r i d S t a t e S c d E 3 5 R y > < K e y > i n v o i c e 2 < / K e y > < V a l u e   x m l n s : a = " h t t p : / / s c h e m a s . d a t a c o n t r a c t . o r g / 2 0 0 4 / 0 7 / M i c r o s o f t . A n a l y s i s S e r v i c e s . C o m m o n " > < a : H a s F o c u s > t r u e < / a : H a s F o c u s > < a : S i z e A t D p i 9 6 > 1 1 9 < / a : S i z e A t D p i 9 6 > < a : V i s i b l e > t r u e < / a : V i s i b l e > < / V a l u e > < / K e y V a l u e O f s t r i n g S a n d b o x E d i t o r . M e a s u r e G r i d S t a t e S c d E 3 5 R y > < / A r r a y O f K e y V a l u e O f s t r i n g S a n d b o x E d i t o r . M e a s u r e G r i d S t a t e S c d E 3 5 R y > ] ] > < / 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 2 0 2 5 - 0 7 - 1 5 T 2 1 : 3 7 : 0 1 . 2 0 0 6 2 7 2 + 0 3 : 3 0 < / L a s t P r o c e s s e d T i m e > < / D a t a M o d e l i n g S a n d b o x . S e r i a l i z e d S a n d b o x E r r o r C a c h e > ] ] > < / C u s t o m C o n t e n t > < / G e m i n i > 
</file>

<file path=customXml/item16.xml>��< ? x m l   v e r s i o n = " 1 . 0 "   e n c o d i n g = " U T F - 1 6 " ? > < G e m i n i   x m l n s = " h t t p : / / g e m i n i / p i v o t c u s t o m i z a t i o n / 5 1 2 c 9 e 5 f - 4 9 4 d - 4 5 4 5 - 8 5 1 d - 7 9 f 9 a 1 f d 5 2 e 1 " > < C u s t o m C o n t e n t > < ! [ C D A T A [ < ? x m l   v e r s i o n = " 1 . 0 "   e n c o d i n g = " u t f - 1 6 " ? > < S e t t i n g s > < C a l c u l a t e d F i e l d s > < i t e m > < M e a s u r e N a m e > m a x y e a r l o a d i n g < / M e a s u r e N a m e > < D i s p l a y N a m e > m a x y e a r l o a d i n g < / D i s p l a y N a m e > < V i s i b l e > F a l s e < / V i s i b l e > < / i t e m > < / C a l c u l a t e d F i e l d s > < S A H o s t H a s h > 0 < / S A H o s t H a s h > < G e m i n i F i e l d L i s t V i s i b l e > T r u e < / G e m i n i F i e l d L i s t V i s i b l e > < / S e t t i n g s > ] ] > < / C u s t o m C o n t e n t > < / G e m i n i > 
</file>

<file path=customXml/item17.xml>��< ? x m l   v e r s i o n = " 1 . 0 "   e n c o d i n g = " U T F - 1 6 " ? > < G e m i n i   x m l n s = " h t t p : / / g e m i n i / p i v o t c u s t o m i z a t i o n / T a b l e X M L _ b a r g i r i " > < C u s t o m C o n t e n t > < ! [ C D A T A [ < T a b l e W i d g e t G r i d S e r i a l i z a t i o n   x m l n s : x s d = " h t t p : / / w w w . w 3 . o r g / 2 0 0 1 / X M L S c h e m a "   x m l n s : x s i = " h t t p : / / w w w . w 3 . o r g / 2 0 0 1 / X M L S c h e m a - i n s t a n c e " > < C o l u m n S u g g e s t e d T y p e   / > < C o l u m n F o r m a t   / > < C o l u m n A c c u r a c y   / > < C o l u m n C u r r e n c y S y m b o l   / > < C o l u m n P o s i t i v e P a t t e r n   / > < C o l u m n N e g a t i v e P a t t e r n   / > < C o l u m n W i d t h s > < i t e m > < k e y > < s t r i n g > *'1�.  ('1��1�< / s t r i n g > < / k e y > < v a l u e > < i n t > 1 0 3 < / i n t > < / v a l u e > < / i t e m > < i t e m > < k e y > < s t r i n g > F'E  E4*1�< / s t r i n g > < / k e y > < v a l u e > < i n t > 8 7 < / i n t > < / v a l u e > < / i t e m > < i t e m > < k e y > < s t r i n g > 4E'1G  ~�4  A'�*H1< / s t r i n g > < / k e y > < v a l u e > < i n t > 1 2 3 < / i n t > < / v a l u e > < / i t e m > < i t e m > < k e y > < s t r i n g > E�2'F  ('1��1�  4/G< / s t r i n g > < / k e y > < v a l u e > < i n t > 1 2 3 < / i n t > < / v a l u e > < / i t e m > < i t e m > < k e y > < s t r i n g > A�< / s t r i n g > < / k e y > < v a l u e > < i n t > 4 6 < / i n t > < / v a l u e > < / i t e m > < i t e m > < k e y > < s t r i n g > E'G< / s t r i n g > < / k e y > < v a l u e > < i n t > 5 1 < / i n t > < / v a l u e > < / i t e m > < i t e m > < k e y > < s t r i n g > 3'D< / s t r i n g > < / k e y > < v a l u e > < i n t > 5 7 < / i n t > < / v a l u e > < / i t e m > < i t e m > < k e y > < s t r i n g > B�E*  �D  ('1< / s t r i n g > < / k e y > < v a l u e > < i n t > 1 1 7 < / i n t > < / v a l u e > < / i t e m > < i t e m > < k e y > < s t r i n g > �E��2 < / s t r i n g > < / k e y > < v a l u e > < i n t > 8 3 < / i n t > < / v a l u e > < / i t e m > < i t e m > < k e y > < s t r i n g > L o a d i n g A f t e r 1 4 0 3 _ C o l u m n < / s t r i n g > < / k e y > < v a l u e > < i n t > 2 6 3 < / i n t > < / v a l u e > < / i t e m > < / C o l u m n W i d t h s > < C o l u m n D i s p l a y I n d e x > < i t e m > < k e y > < s t r i n g > *'1�.  ('1��1�< / s t r i n g > < / k e y > < v a l u e > < i n t > 0 < / i n t > < / v a l u e > < / i t e m > < i t e m > < k e y > < s t r i n g > F'E  E4*1�< / s t r i n g > < / k e y > < v a l u e > < i n t > 1 < / i n t > < / v a l u e > < / i t e m > < i t e m > < k e y > < s t r i n g > 4E'1G  ~�4  A'�*H1< / s t r i n g > < / k e y > < v a l u e > < i n t > 2 < / i n t > < / v a l u e > < / i t e m > < i t e m > < k e y > < s t r i n g > E�2'F  ('1��1�  4/G< / s t r i n g > < / k e y > < v a l u e > < i n t > 3 < / i n t > < / v a l u e > < / i t e m > < i t e m > < k e y > < s t r i n g > A�< / s t r i n g > < / k e y > < v a l u e > < i n t > 4 < / i n t > < / v a l u e > < / i t e m > < i t e m > < k e y > < s t r i n g > E'G< / s t r i n g > < / k e y > < v a l u e > < i n t > 5 < / i n t > < / v a l u e > < / i t e m > < i t e m > < k e y > < s t r i n g > 3'D< / s t r i n g > < / k e y > < v a l u e > < i n t > 6 < / i n t > < / v a l u e > < / i t e m > < i t e m > < k e y > < s t r i n g > B�E*  �D  ('1< / s t r i n g > < / k e y > < v a l u e > < i n t > 7 < / i n t > < / v a l u e > < / i t e m > < i t e m > < k e y > < s t r i n g > �E��2 < / s t r i n g > < / k e y > < v a l u e > < i n t > 8 < / i n t > < / v a l u e > < / i t e m > < i t e m > < k e y > < s t r i n g > L o a d i n g A f t e r 1 4 0 3 _ C o l u m n < / s t r i n g > < / k e y > < v a l u e > < i n t > 9 < / i n t > < / v a l u e > < / i t e m > < / C o l u m n D i s p l a y I n d e x > < C o l u m n F r o z e n   / > < C o l u m n C h e c k e d   / > < C o l u m n F i l t e r > < i t e m > < k e y > < s t r i n g > A�< / s t r i n g > < / k e y > < v a l u e > < F i l t e r E x p r e s s i o n   x s i : n i l = " t r u e "   / > < / v a l u e > < / i t e m > < / C o l u m n F i l t e r > < S e l e c t i o n F i l t e r > < i t e m > < k e y > < s t r i n g > A�< / s t r i n g > < / k e y > < v a l u e > < S e l e c t i o n F i l t e r > < S e l e c t i o n T y p e > S e l e c t < / S e l e c t i o n T y p e > < I t e m s > < a n y T y p e   x s i : t y p e = " x s d : l o n g " > 0 < / a n y T y p e > < / I t e m s > < / S e l e c t i o n F i l t e r > < / v a l u e > < / i t e m > < / S e l e c t i o n F i l t e r > < F i l t e r P a r a m e t e r s > < i t e m > < k e y > < s t r i n g > A�< / s t r i n g > < / k e y > < v a l u e > < C o m m a n d P a r a m e t e r s   / > < / v a l u e > < / i t e m > < / F i l t e r P a r a m e t e r s > < I s S o r t D e s c e n d i n g > f a l s e < / I s S o r t D e s c e n d i n g > < / T a b l e W i d g e t G r i d S e r i a l i z a t i o n > ] ] > < / 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 b a r g i r i 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 b a r g i r i 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 C o l u m n s \ *'1�.  ('1��1�< / K e y > < / a : K e y > < a : V a l u e   i : t y p e = " T a b l e W i d g e t B a s e V i e w S t a t e " / > < / a : K e y V a l u e O f D i a g r a m O b j e c t K e y a n y T y p e z b w N T n L X > < a : K e y V a l u e O f D i a g r a m O b j e c t K e y a n y T y p e z b w N T n L X > < a : K e y > < K e y > C o l u m n s \ F'E  E4*1�< / K e y > < / a : K e y > < a : V a l u e   i : t y p e = " T a b l e W i d g e t B a s e V i e w S t a t e " / > < / a : K e y V a l u e O f D i a g r a m O b j e c t K e y a n y T y p e z b w N T n L X > < a : K e y V a l u e O f D i a g r a m O b j e c t K e y a n y T y p e z b w N T n L X > < a : K e y > < K e y > C o l u m n s \ 4E'1G  ~�4  A'�*H1< / K e y > < / a : K e y > < a : V a l u e   i : t y p e = " T a b l e W i d g e t B a s e V i e w S t a t e " / > < / a : K e y V a l u e O f D i a g r a m O b j e c t K e y a n y T y p e z b w N T n L X > < a : K e y V a l u e O f D i a g r a m O b j e c t K e y a n y T y p e z b w N T n L X > < a : K e y > < K e y > C o l u m n s \ E�2'F  ('1��1�  4/G< / K e y > < / a : K e y > < a : V a l u e   i : t y p e = " T a b l e W i d g e t B a s e V i e w S t a t e " / > < / a : K e y V a l u e O f D i a g r a m O b j e c t K e y a n y T y p e z b w N T n L X > < a : K e y V a l u e O f D i a g r a m O b j e c t K e y a n y T y p e z b w N T n L X > < a : K e y > < K e y > C o l u m n s \ A�< / K e y > < / a : K e y > < a : V a l u e   i : t y p e = " T a b l e W i d g e t B a s e V i e w S t a t e " / > < / a : K e y V a l u e O f D i a g r a m O b j e c t K e y a n y T y p e z b w N T n L X > < a : K e y V a l u e O f D i a g r a m O b j e c t K e y a n y T y p e z b w N T n L X > < a : K e y > < K e y > C o l u m n s \ 3'D< / K e y > < / a : K e y > < a : V a l u e   i : t y p e = " T a b l e W i d g e t B a s e V i e w S t a t e " / > < / a : K e y V a l u e O f D i a g r a m O b j e c t K e y a n y T y p e z b w N T n L X > < a : K e y V a l u e O f D i a g r a m O b j e c t K e y a n y T y p e z b w N T n L X > < a : K e y > < K e y > C o l u m n s \ E'G< / K e y > < / a : K e y > < a : V a l u e   i : t y p e = " T a b l e W i d g e t B a s e V i e w S t a t e " / > < / a : K e y V a l u e O f D i a g r a m O b j e c t K e y a n y T y p e z b w N T n L X > < a : K e y V a l u e O f D i a g r a m O b j e c t K e y a n y T y p e z b w N T n L X > < a : K e y > < K e y > C o l u m n s \ B�E*  �D  ('1< / K e y > < / a : K e y > < a : V a l u e   i : t y p e = " T a b l e W i d g e t B a s e V i e w S t a t e " / > < / a : K e y V a l u e O f D i a g r a m O b j e c t K e y a n y T y p e z b w N T n L X > < a : K e y V a l u e O f D i a g r a m O b j e c t K e y a n y T y p e z b w N T n L X > < a : K e y > < K e y > C o l u m n s \ �E��2 < / K e y > < / a : K e y > < a : V a l u e   i : t y p e = " T a b l e W i d g e t B a s e V i e w S t a t e " / > < / a : K e y V a l u e O f D i a g r a m O b j e c t K e y a n y T y p e z b w N T n L X > < a : K e y V a l u e O f D i a g r a m O b j e c t K e y a n y T y p e z b w N T n L X > < a : K e y > < K e y > C o l u m n s \ L o a d i n g A f t e r 1 4 0 3 _ C o l u m n 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 C o l u m n s \ R o w   L a b e l s < / K e y > < / a : K e y > < a : V a l u e   i : t y p e = " T a b l e W i d g e t B a s e V i e w S t a t e " / > < / a : K e y V a l u e O f D i a g r a m O b j e c t K e y a n y T y p e z b w N T n L X > < a : K e y V a l u e O f D i a g r a m O b j e c t K e y a n y T y p e z b w N T n L X > < a : K e y > < K e y > C o l u m n s \ S u m   o f   A�  2 < / K e y > < / a : K e y > < a : V a l u e   i : t y p e = " T a b l e W i d g e t B a s e V i e w S t a t e " / > < / a : K e y V a l u e O f D i a g r a m O b j e c t K e y a n y T y p e z b w N T n L X > < a : K e y V a l u e O f D i a g r a m O b j e c t K e y a n y T y p e z b w N T n L X > < a : K e y > < K e y > C o l u m n s \ S u m   o f   E�2'F  ('1��1�  4/G< / K e y > < / a : K e y > < a : V a l u e   i : t y p e = " T a b l e W i d g e t B a s e V i e w S t a t e " / > < / a : K e y V a l u e O f D i a g r a m O b j e c t K e y a n y T y p e z b w N T n L X > < a : K e y V a l u e O f D i a g r a m O b j e c t K e y a n y T y p e z b w N T n L X > < a : K e y > < K e y > C o l u m n s \ E'F/G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 C o l u m n s \ 4E'1G  ~�4  A'�*H1< / K e y > < / a : K e y > < a : V a l u e   i : t y p e = " T a b l e W i d g e t B a s e V i e w S t a t e " / > < / a : K e y V a l u e O f D i a g r a m O b j e c t K e y a n y T y p e z b w N T n L X > < a : K e y V a l u e O f D i a g r a m O b j e c t K e y a n y T y p e z b w N T n L X > < a : K e y > < K e y > C o l u m n s \ F'E  E4*1�< / K e y > < / a : K e y > < a : V a l u e   i : t y p e = " T a b l e W i d g e t B a s e V i e w S t a t e " / > < / a : K e y V a l u e O f D i a g r a m O b j e c t K e y a n y T y p e z b w N T n L X > < a : K e y V a l u e O f D i a g r a m O b j e c t K e y a n y T y p e z b w N T n L X > < a : K e y > < K e y > C o l u m n s \ *'1�.< / K e y > < / a : K e y > < a : V a l u e   i : t y p e = " T a b l e W i d g e t B a s e V i e w S t a t e " / > < / a : K e y V a l u e O f D i a g r a m O b j e c t K e y a n y T y p e z b w N T n L X > < a : K e y V a l u e O f D i a g r a m O b j e c t K e y a n y T y p e z b w N T n L X > < a : K e y > < K e y > C o l u m n s \ *'1�.  E,H2  (G1G  (1/'1�< / K e y > < / a : K e y > < a : V a l u e   i : t y p e = " T a b l e W i d g e t B a s e V i e w S t a t e " / > < / a : K e y V a l u e O f D i a g r a m O b j e c t K e y a n y T y p e z b w N T n L X > < a : K e y V a l u e O f D i a g r a m O b j e c t K e y a n y T y p e z b w N T n L X > < a : K e y > < K e y > C o l u m n s \ E�2'F  3A'14< / K e y > < / a : K e y > < a : V a l u e   i : t y p e = " T a b l e W i d g e t B a s e V i e w S t a t e " / > < / a : K e y V a l u e O f D i a g r a m O b j e c t K e y a n y T y p e z b w N T n L X > < a : K e y V a l u e O f D i a g r a m O b j e c t K e y a n y T y p e z b w N T n L X > < a : K e y > < K e y > C o l u m n s \ A�< / K e y > < / a : K e y > < a : V a l u e   i : t y p e = " T a b l e W i d g e t B a s e V i e w S t a t e " / > < / a : K e y V a l u e O f D i a g r a m O b j e c t K e y a n y T y p e z b w N T n L X > < a : K e y V a l u e O f D i a g r a m O b j e c t K e y a n y T y p e z b w N T n L X > < a : K e y > < K e y > C o l u m n s \ -ED  4/G< / K e y > < / a : K e y > < a : V a l u e   i : t y p e = " T a b l e W i d g e t B a s e V i e w S t a t e " / > < / a : K e y V a l u e O f D i a g r a m O b j e c t K e y a n y T y p e z b w N T n L X > < a : K e y V a l u e O f D i a g r a m O b j e c t K e y a n y T y p e z b w N T n L X > < a : K e y > < K e y > C o l u m n s \ E'F/G< / K e y > < / a : K e y > < a : V a l u e   i : t y p e = " T a b l e W i d g e t B a s e V i e w S t a t e " / > < / a : K e y V a l u e O f D i a g r a m O b j e c t K e y a n y T y p e z b w N T n L X > < a : K e y V a l u e O f D i a g r a m O b j e c t K e y a n y T y p e z b w N T n L X > < a : K e y > < K e y > C o l u m n s \ FH9< / K e y > < / a : K e y > < a : V a l u e   i : t y p e = " T a b l e W i d g e t B a s e V i e w S t a t e " / > < / a : K e y V a l u e O f D i a g r a m O b j e c t K e y a n y T y p e z b w N T n L X > < a : K e y V a l u e O f D i a g r a m O b j e c t K e y a n y T y p e z b w N T n L X > < a : K e y > < K e y > C o l u m n s \ 44  E'GG  'HD< / K e y > < / a : K e y > < a : V a l u e   i : t y p e = " T a b l e W i d g e t B a s e V i e w S t a t e " / > < / a : K e y V a l u e O f D i a g r a m O b j e c t K e y a n y T y p e z b w N T n L X > < a : K e y V a l u e O f D i a g r a m O b j e c t K e y a n y T y p e z b w N T n L X > < a : K e y > < K e y > C o l u m n s \ *H2�9  GA*��< / K e y > < / a : K e y > < a : V a l u e   i : t y p e = " T a b l e W i d g e t B a s e V i e w S t a t e " / > < / a : K e y V a l u e O f D i a g r a m O b j e c t K e y a n y T y p e z b w N T n L X > < a : K e y V a l u e O f D i a g r a m O b j e c t K e y a n y T y p e z b w N T n L X > < a : K e y > < K e y > C o l u m n s \ 44  E'GG  /HE< / K e y > < / a : K e y > < a : V a l u e   i : t y p e = " T a b l e W i d g e t B a s e V i e w S t a t e " / > < / a : K e y V a l u e O f D i a g r a m O b j e c t K e y a n y T y p e z b w N T n L X > < a : K e y V a l u e O f D i a g r a m O b j e c t K e y a n y T y p e z b w N T n L X > < a : K e y > < K e y > C o l u m n s \ *H2�9  GA*��2 < / K e y > < / a : K e y > < a : V a l u e   i : t y p e = " T a b l e W i d g e t B a s e V i e w S t a t e " / > < / a : K e y V a l u e O f D i a g r a m O b j e c t K e y a n y T y p e z b w N T n L X > < a : K e y V a l u e O f D i a g r a m O b j e c t K e y a n y T y p e z b w N T n L X > < a : K e y > < K e y > C o l u m n s \ *H6�-'*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 C o l u m n s \ 4E'1G  ~�4  A'�*H1< / K e y > < / a : K e y > < a : V a l u e   i : t y p e = " T a b l e W i d g e t B a s e V i e w S t a t e " / > < / a : K e y V a l u e O f D i a g r a m O b j e c t K e y a n y T y p e z b w N T n L X > < a : K e y V a l u e O f D i a g r a m O b j e c t K e y a n y T y p e z b w N T n L X > < a : K e y > < K e y > C o l u m n s \ F'E  E4*1�< / K e y > < / a : K e y > < a : V a l u e   i : t y p e = " T a b l e W i d g e t B a s e V i e w S t a t e " / > < / a : K e y V a l u e O f D i a g r a m O b j e c t K e y a n y T y p e z b w N T n L X > < a : K e y V a l u e O f D i a g r a m O b j e c t K e y a n y T y p e z b w N T n L X > < a : K e y > < K e y > C o l u m n s \ *'1�.< / K e y > < / a : K e y > < a : V a l u e   i : t y p e = " T a b l e W i d g e t B a s e V i e w S t a t e " / > < / a : K e y V a l u e O f D i a g r a m O b j e c t K e y a n y T y p e z b w N T n L X > < a : K e y V a l u e O f D i a g r a m O b j e c t K e y a n y T y p e z b w N T n L X > < a : K e y > < K e y > C o l u m n s \ *'1�.  E,H2  (G1G  (1/'1�< / K e y > < / a : K e y > < a : V a l u e   i : t y p e = " T a b l e W i d g e t B a s e V i e w S t a t e " / > < / a : K e y V a l u e O f D i a g r a m O b j e c t K e y a n y T y p e z b w N T n L X > < a : K e y V a l u e O f D i a g r a m O b j e c t K e y a n y T y p e z b w N T n L X > < a : K e y > < K e y > C o l u m n s \ E�2'F  3A'14< / K e y > < / a : K e y > < a : V a l u e   i : t y p e = " T a b l e W i d g e t B a s e V i e w S t a t e " / > < / a : K e y V a l u e O f D i a g r a m O b j e c t K e y a n y T y p e z b w N T n L X > < a : K e y V a l u e O f D i a g r a m O b j e c t K e y a n y T y p e z b w N T n L X > < a : K e y > < K e y > C o l u m n s \ A�< / K e y > < / a : K e y > < a : V a l u e   i : t y p e = " T a b l e W i d g e t B a s e V i e w S t a t e " / > < / a : K e y V a l u e O f D i a g r a m O b j e c t K e y a n y T y p e z b w N T n L X > < a : K e y V a l u e O f D i a g r a m O b j e c t K e y a n y T y p e z b w N T n L X > < a : K e y > < K e y > C o l u m n s \ E'G< / K e y > < / a : K e y > < a : V a l u e   i : t y p e = " T a b l e W i d g e t B a s e V i e w S t a t e " / > < / a : K e y V a l u e O f D i a g r a m O b j e c t K e y a n y T y p e z b w N T n L X > < a : K e y V a l u e O f D i a g r a m O b j e c t K e y a n y T y p e z b w N T n L X > < a : K e y > < K e y > C o l u m n s \ 3'D< / K e y > < / a : K e y > < a : V a l u e   i : t y p e = " T a b l e W i d g e t B a s e V i e w S t a t e " / > < / a : K e y V a l u e O f D i a g r a m O b j e c t K e y a n y T y p e z b w N T n L X > < a : K e y V a l u e O f D i a g r a m O b j e c t K e y a n y T y p e z b w N T n L X > < a : K e y > < K e y > C o l u m n s \ FH9  3A'14< / K e y > < / a : K e y > < a : V a l u e   i : t y p e = " T a b l e W i d g e t B a s e V i e w S t a t e " / > < / a : K e y V a l u e O f D i a g r a m O b j e c t K e y a n y T y p e z b w N T n L X > < a : K e y V a l u e O f D i a g r a m O b j e c t K e y a n y T y p e z b w N T n L X > < a : K e y > < K e y > C o l u m n s \ FH9  41�*< / K e y > < / a : K e y > < a : V a l u e   i : t y p e = " T a b l e W i d g e t B a s e V i e w S t a t e " / > < / a : K e y V a l u e O f D i a g r a m O b j e c t K e y a n y T y p e z b w N T n L X > < a : K e y V a l u e O f D i a g r a m O b j e c t K e y a n y T y p e z b w N T n L X > < a : K e y > < K e y > C o l u m n s \ *'1�.  'FB6'< / K e y > < / a : K e y > < a : V a l u e   i : t y p e = " T a b l e W i d g e t B a s e V i e w S t a t e " / > < / a : K e y V a l u e O f D i a g r a m O b j e c t K e y a n y T y p e z b w N T n L X > < a : K e y V a l u e O f D i a g r a m O b j e c t K e y a n y T y p e z b w N T n L X > < a : K e y > < K e y > C o l u m n s \ �E��< / K e y > < / a : K e y > < a : V a l u e   i : t y p e = " T a b l e W i d g e t B a s e V i e w S t a t e " / > < / a : K e y V a l u e O f D i a g r a m O b j e c t K e y a n y T y p e z b w N T n L X > < a : K e y V a l u e O f D i a g r a m O b j e c t K e y a n y T y p e z b w N T n L X > < a : K e y > < K e y > C o l u m n s \ /15/  E(D:  ~�4  /1�'A*< / K e y > < / a : K e y > < a : V a l u e   i : t y p e = " T a b l e W i d g e t B a s e V i e w S t a t e " / > < / a : K e y V a l u e O f D i a g r a m O b j e c t K e y a n y T y p e z b w N T n L X > < a : K e y V a l u e O f D i a g r a m O b j e c t K e y a n y T y p e z b w N T n L X > < a : K e y > < K e y > C o l u m n s \ '124  'A2H/G< / K e y > < / a : K e y > < a : V a l u e   i : t y p e = " T a b l e W i d g e t B a s e V i e w S t a t e " / > < / a : K e y V a l u e O f D i a g r a m O b j e c t K e y a n y T y p e z b w N T n L X > < a : K e y V a l u e O f D i a g r a m O b j e c t K e y a n y T y p e z b w N T n L X > < a : K e y > < K e y > C o l u m n s \ /15/  E�2'F  ('1��1�  4/G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S a n d b o x N o n E m p t y " > < C u s t o m C o n t e n t > < ! [ C D A T A [ 1 ] ] > < / C u s t o m C o n t e n t > < / G e m i n i > 
</file>

<file path=customXml/item20.xml>��< ? x m l   v e r s i o n = " 1 . 0 "   e n c o d i n g = " U T F - 1 6 " ? > < G e m i n i   x m l n s = " h t t p : / / g e m i n i / p i v o t c u s t o m i z a t i o n / T a b l e O r d e r " > < C u s t o m C o n t e n t > < ! [ C D A T A [ b a r g i r i , i n v o i c e , T a b l e 1 , i n v o i c e 2 ] ] > < / C u s t o m C o n t e n t > < / G e m i n i > 
</file>

<file path=customXml/item21.xml>��< ? x m l   v e r s i o n = " 1 . 0 "   e n c o d i n g = " U T F - 1 6 " ? > < G e m i n i   x m l n s = " h t t p : / / g e m i n i / p i v o t c u s t o m i z a t i o n / T a b l e X M L _ i n v o i c e 2 " > < C u s t o m C o n t e n t > < ! [ C D A T A [ < T a b l e W i d g e t G r i d S e r i a l i z a t i o n   x m l n s : x s d = " h t t p : / / w w w . w 3 . o r g / 2 0 0 1 / X M L S c h e m a "   x m l n s : x s i = " h t t p : / / w w w . w 3 . o r g / 2 0 0 1 / X M L S c h e m a - i n s t a n c e " > < C o l u m n S u g g e s t e d T y p e   / > < C o l u m n F o r m a t   / > < C o l u m n A c c u r a c y   / > < C o l u m n C u r r e n c y S y m b o l   / > < C o l u m n P o s i t i v e P a t t e r n   / > < C o l u m n N e g a t i v e P a t t e r n   / > < C o l u m n W i d t h s > < i t e m > < k e y > < s t r i n g > 4E'1G  ~�4  A'�*H1< / s t r i n g > < / k e y > < v a l u e > < i n t > 1 3 8 < / i n t > < / v a l u e > < / i t e m > < i t e m > < k e y > < s t r i n g > F'E  E4*1�< / s t r i n g > < / k e y > < v a l u e > < i n t > 1 0 1 < / i n t > < / v a l u e > < / i t e m > < i t e m > < k e y > < s t r i n g > *'1�.< / s t r i n g > < / k e y > < v a l u e > < i n t > 6 8 < / i n t > < / v a l u e > < / i t e m > < i t e m > < k e y > < s t r i n g > *'1�.  E,H2  (G1G  (1/'1�< / s t r i n g > < / k e y > < v a l u e > < i n t > 1 6 1 < / i n t > < / v a l u e > < / i t e m > < i t e m > < k e y > < s t r i n g > E�2'F  3A'14< / s t r i n g > < / k e y > < v a l u e > < i n t > 1 1 7 < / i n t > < / v a l u e > < / i t e m > < i t e m > < k e y > < s t r i n g > A�< / s t r i n g > < / k e y > < v a l u e > < i n t > 5 7 < / i n t > < / v a l u e > < / i t e m > < i t e m > < k e y > < s t r i n g > -ED  4/G< / s t r i n g > < / k e y > < v a l u e > < i n t > 9 9 < / i n t > < / v a l u e > < / i t e m > < i t e m > < k e y > < s t r i n g > E'F/G< / s t r i n g > < / k e y > < v a l u e > < i n t > 7 1 < / i n t > < / v a l u e > < / i t e m > < i t e m > < k e y > < s t r i n g > FH9< / s t r i n g > < / k e y > < v a l u e > < i n t > 6 0 < / i n t > < / v a l u e > < / i t e m > < i t e m > < k e y > < s t r i n g > 44  E'GG  'HD< / s t r i n g > < / k e y > < v a l u e > < i n t > 1 2 2 < / i n t > < / v a l u e > < / i t e m > < i t e m > < k e y > < s t r i n g > *H2�9  GA*��< / s t r i n g > < / k e y > < v a l u e > < i n t > 1 1 1 < / i n t > < / v a l u e > < / i t e m > < i t e m > < k e y > < s t r i n g > 44  E'GG  /HE< / s t r i n g > < / k e y > < v a l u e > < i n t > 1 2 8 < / i n t > < / v a l u e > < / i t e m > < i t e m > < k e y > < s t r i n g > *H2�9  GA*��2 < / s t r i n g > < / k e y > < v a l u e > < i n t > 1 1 8 < / i n t > < / v a l u e > < / i t e m > < i t e m > < k e y > < s t r i n g > *H6�-'*< / s t r i n g > < / k e y > < v a l u e > < i n t > 9 3 < / i n t > < / v a l u e > < / i t e m > < / C o l u m n W i d t h s > < C o l u m n D i s p l a y I n d e x > < i t e m > < k e y > < s t r i n g > 4E'1G  ~�4  A'�*H1< / s t r i n g > < / k e y > < v a l u e > < i n t > 0 < / i n t > < / v a l u e > < / i t e m > < i t e m > < k e y > < s t r i n g > F'E  E4*1�< / s t r i n g > < / k e y > < v a l u e > < i n t > 1 < / i n t > < / v a l u e > < / i t e m > < i t e m > < k e y > < s t r i n g > *'1�.< / s t r i n g > < / k e y > < v a l u e > < i n t > 2 < / i n t > < / v a l u e > < / i t e m > < i t e m > < k e y > < s t r i n g > *'1�.  E,H2  (G1G  (1/'1�< / s t r i n g > < / k e y > < v a l u e > < i n t > 3 < / i n t > < / v a l u e > < / i t e m > < i t e m > < k e y > < s t r i n g > E�2'F  3A'14< / s t r i n g > < / k e y > < v a l u e > < i n t > 4 < / i n t > < / v a l u e > < / i t e m > < i t e m > < k e y > < s t r i n g > A�< / s t r i n g > < / k e y > < v a l u e > < i n t > 5 < / i n t > < / v a l u e > < / i t e m > < i t e m > < k e y > < s t r i n g > -ED  4/G< / s t r i n g > < / k e y > < v a l u e > < i n t > 6 < / i n t > < / v a l u e > < / i t e m > < i t e m > < k e y > < s t r i n g > E'F/G< / s t r i n g > < / k e y > < v a l u e > < i n t > 7 < / i n t > < / v a l u e > < / i t e m > < i t e m > < k e y > < s t r i n g > FH9< / s t r i n g > < / k e y > < v a l u e > < i n t > 8 < / i n t > < / v a l u e > < / i t e m > < i t e m > < k e y > < s t r i n g > 44  E'GG  'HD< / s t r i n g > < / k e y > < v a l u e > < i n t > 9 < / i n t > < / v a l u e > < / i t e m > < i t e m > < k e y > < s t r i n g > *H2�9  GA*��< / s t r i n g > < / k e y > < v a l u e > < i n t > 1 0 < / i n t > < / v a l u e > < / i t e m > < i t e m > < k e y > < s t r i n g > 44  E'GG  /HE< / s t r i n g > < / k e y > < v a l u e > < i n t > 1 1 < / i n t > < / v a l u e > < / i t e m > < i t e m > < k e y > < s t r i n g > *H2�9  GA*��2 < / s t r i n g > < / k e y > < v a l u e > < i n t > 1 2 < / i n t > < / v a l u e > < / i t e m > < i t e m > < k e y > < s t r i n g > *H6�-'*< / s t r i n g > < / k e y > < v a l u e > < i n t > 1 3 < / i n t > < / v a l u e > < / i t e m > < / C o l u m n D i s p l a y I n d e x > < C o l u m n F r o z e n   / > < C o l u m n C h e c k e d   / > < C o l u m n F i l t e r   / > < S e l e c t i o n F i l t e r   / > < F i l t e r P a r a m e t e r s   / > < I s S o r t D e s c e n d i n g > f a l s e < / I s S o r t D e s c e n d i n g > < / T a b l e W i d g e t G r i d S e r i a l i z a t i o n > ] ] > < / C u s t o m C o n t e n t > < / G e m i n i > 
</file>

<file path=customXml/item22.xml>��< ? x m l   v e r s i o n = " 1 . 0 "   e n c o d i n g = " u t f - 1 6 " ? > < D a t a M a s h u p   s q m i d = " 4 6 c 6 6 0 6 2 - 3 6 a a - 4 9 6 9 - a 6 4 4 - f 4 5 b f 1 1 d a 6 4 8 "   x m l n s = " h t t p : / / s c h e m a s . m i c r o s o f t . c o m / D a t a M a s h u p " > A A A A A G U I A A B Q S w M E F A A C A A g A e U 4 S W 6 v u q 6 y m A A A A 9 g A A A B I A H A B D b 2 5 m a W c v U G F j a 2 F n Z S 5 4 b W w g o h g A K K A U A A A A A A A A A A A A A A A A A A A A A A A A A A A A h Y 8 x D o I w G I W v Q r r T F j B q y E 8 Z n E w k M Z o Y 1 6 Y U a I R i a L H c z c E j e Q U x i r o 5 v u 9 9 w 3 v 3 6 w 3 S o a m 9 i + y M a n W C A k y R J 7 V o c 6 X L B P W 2 8 J c o Z b D l 4 s R L 6 Y 2 y N v F g 8 g R V 1 p 5 j Q p x z 2 E W 4 7 U o S U h q Q Y 7 b Z i 0 o 2 H H 1 k 9 V / 2 l T a W a y E R g 8 N r D A t x M I t w s J h j C m S C k C n 9 F c J x 7 7 P 9 g b D q a 9 t 3 k h X c X + + A T B H I + w N 7 A F B L A w Q U A A I A C A B 5 T h J 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U 4 S W x a O r 5 1 d B Q A A W h Y A A B M A H A B G b 3 J t d W x h c y 9 T Z W N 0 a W 9 u M S 5 t I K I Y A C i g F A A A A A A A A A A A A A A A A A A A A A A A A A A A A O 1 Y W 0 8 b R x R + R + I / j I a X t b R y b e K k N 7 l S A k F F b S n F S H 2 w r G j w T v C K v d D d W Q K y / E A V o A / 5 F X k h S R V c C n 3 t 7 9 h N / k z P m V n v z b s 2 L R G R o u a B r O e c O Z f v X H d 9 3 h e m 6 5 C O + r / 5 9 e L C 4 o I / Y B 4 3 y B L 1 m c V 9 Y j B / s O M y z 6 C k T S w u F g j 8 2 2 R i A D 8 f H / a 5 V V 8 J P I 8 7 4 m f X 2 9 t x 3 T 2 t N u x u M J u 3 6 T b b s X i L 9 k b d F d c R w N I b N k b d 8 G U 4 D i / D K x I d h + f v X 0 T P e 7 q U 2 X E D r 8 9 B 6 p p r G d y r r 5 m g X k N N N c W w R O F I c D R u y 3 3 m o z 1 S Q 7 3 D L X A A z z Q l R C e c 9 Q f E c Q X Z 5 o e i j u q Z 6 f i a N K y n E 7 q a e F V L p K 8 7 B + 4 e J y u B L 1 y b r A W O B G U 5 1 f P Q M F Z c K 7 A d r W g K S N z 2 m O M / d T 2 4 C Y Y T b b l G Y z O W y m h a g k l q w B a 3 3 Q M Q + a M Y c I 8 o V f 5 y 0 c / 4 X K s 2 W C f D M p W j R N H j w 3 3 m G K B J y o 0 1 Z R Q p u n x O H K 4 w r s p z J U i x I e h o b x k M S 7 T D 7 H 3 4 l R z V 5 g D S r A a k w i 9 9 S M M 3 4 X l 4 + f 5 F e E H C t 9 F v 4 X n 0 P D p D 4 6 N T e D 4 h 0 U l 4 D T z A g Y f h N f w G / u i M h F f A M U b 6 K 2 S V V 0 6 i X y G F g U 7 g C k j D J M Z s v g T B 1 w Q E j W P Z x y B u l P H G A S C M i R + p G 4 q Q u l H h t j 6 c 4 U e W 8 A o f 3 4 3 h B / o z G m U y 3 O e e A M l r p u c L s g K V z v q Q x n 5 5 j h c N B j V T F + M c l 2 X W E c w T W r f S F C i 8 V k 0 n 4 m i f E w E X q p C 5 V w 1 N t Q e I T o l 1 N L x C k O g I i 2 J 2 X D P U 6 G + w + F p 2 q H e v w z c A 9 K W S c P P Y n 4 C E P 0 H 1 a Q G E C U 9 Z W B B F 8 o i L Z 5 w 7 Z J V b p m 2 i G 8 0 b h e e e r M V y C f V m L l A x Q 0 q f H T T 6 G Z V / S m M H F q E N s g e V 2 z n f P Z A e C 4 i t 3 I R j k z k / Q I s c a N 1 K p 0 p 6 Z 0 l x I S H N o J y 9 0 B m q E a u s 3 N b 8 0 k 1 K B r I y c Y 1 i f u V D D 7 n q 7 C I 0 g G s q N W m U S g w S / e m A t 6 Y 6 Q r 7 w M 9 F S u V v S 6 v I c c y p g S u C 8 H N f J u i M e t O r o g L p x L L U W T u M S n e Z W c G X V j m o L p l O G X X Z 1 2 Y T 6 t z l E s Q m I 5 g Y M J X D O S H f d T 3 h + C r h 3 1 B Z e A F v D I 9 N h 3 t G 6 A W P Z f G p y r 5 2 / r E t V b a r Y 0 N 6 C m C 3 + S 2 C C B V J c L 7 9 N p c M v Z 4 / c q R b z C 5 B a q 5 J 9 K n V H J 0 5 g W Y A H i K / p i z E O 4 V v s S B C l 3 6 E r 3 W 8 0 G g Q i 8 R o j F o 6 f d A a c C 1 S j p A + 7 6 4 L b 7 Z l 3 q P 6 d 6 R h t q q 7 C 9 r b K B O s l 6 j Y 9 1 3 a x n L / l z M j N j p g S n 2 s 3 s k w n 3 f j a Q 8 v q 9 J n F P F / B V 1 u E U F c q z Y M 7 D W m y p n 5 a W + o G O z B 3 m V z W Z W 7 n d a H h E y c m d Z K 5 I T H r J o u i T F n I Z c N 0 d k E Y H V L K D z k A y b w 1 y N P A Y m g H p V / R i u S l I 0 p 6 p S l e n d u Z b C b M J z u y l G q k / U 3 K + 9 9 r 4 S P U w 5 3 X B C q c 1 E W F 8 r R w l J O 5 3 p i Z r B g O G x 8 2 A n s H N k 2 I h x z t k w e I y s K k l C T f 9 y a s V 2 0 y T J Q P a a O p N l 2 5 A I E L U C q n s C p l O e R L A o 4 H p M K 6 d Y b z p 8 A j l 5 f w A n m A c 1 y g t t S G i 8 O l Q L k f j 9 X y e w / i t e 4 M h 1 K 8 x G X p n 8 f r / N k U 5 Q t 5 8 y W O t S l / v o x p f x R v N R u S M s a l O 3 c u M U L P Q V d B W n O C z l V 0 j B s p H U l i z G M z 0 R 9 A 1 N o E o a / L / V a T j 6 q b a E l Y 4 m b y B F o A c G e i W s N J m r 7 p A P Y X 4 V / J b u N x P 7 A w p r G m Y X M 0 a R y K V D p X l z / o X J 2 8 M X 7 g 2 S r F / q v 5 u v z / f J 0 / X z O w f q I z t u r D S s V r 2 J w v Q V V f g U q + A B W H e 5 U Z d z v m Z c B n j / r q U s s U 1 6 3 G f W l p f o T y v P M S R Y W 3 G P c Y H U h W 6 O X + j F Z 4 6 7 q d M u E f U E s B A i 0 A F A A C A A g A e U 4 S W 6 v u q 6 y m A A A A 9 g A A A B I A A A A A A A A A A A A A A A A A A A A A A E N v b m Z p Z y 9 Q Y W N r Y W d l L n h t b F B L A Q I t A B Q A A g A I A H l O E l s P y u m r p A A A A O k A A A A T A A A A A A A A A A A A A A A A A P I A A A B b Q 2 9 u d G V u d F 9 U e X B l c 1 0 u e G 1 s U E s B A i 0 A F A A C A A g A e U 4 S W x a O r 5 1 d B Q A A W h Y A A B M A A A A A A A A A A A A A A A A A 4 w E A A E Z v c m 1 1 b G F z L 1 N l Y 3 R p b 2 4 x L m 1 Q S w U G A A A A A A M A A w D C A A A A j Q c 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0 w A A A A A A A A l T 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J B Q U F B Q U F B Q U F B L z l B S 2 R P W j R K U T U x O E J 6 e k R I d D B 3 S T F S e V l X N X p a b T l 5 Y l N C R 2 F X e G x J R 1 p 5 Y j I w Z 2 M y R n N a W E 1 n W k d G e m F H S n Z Z W E p r Q U F B Q U F B Q U F B Q U F B Q U 5 v Y X N R R l p q S U Z M a T J 3 Z m V W W n d w W X N P U 0 d W c 2 N H V n l J R k Y x W l h K c F p Y T U F B V C 8 w Q X A w N W 5 n b E R u W H d I U E 1 N Z T N U Q U F B Q U F B Q U F B Q U F B a H J S R k t V W U l a T 2 1 O U l B T Z W 9 V b k E w b l Z I S m h i b k 5 t Y j N K d E l F W n B i R 1 V n W m 5 K d m J T Q n p Z V 3 h s Y 3 l C a 1 l Y T m 9 Z b T l o Y 2 1 R Z 0 t E S X B B Q U F D Q U F B Q U F B Q U F B R 3 p u U D h F c T h o V k Z v N z F h d H g r N 2 Z P Z 0 9 T R 1 Z z Y 0 d W e U l G R j F a W E p w W l h N Q U F R a H J S R k t V W U l a T 2 1 O U l B T Z W 9 V b k E w Q U F B Q U E i I C 8 + P E V u d H J 5 I F R 5 c G U 9 I l J l b G F 0 a W 9 u c 2 h p c H M i I F Z h b H V l P S J z Q U F B Q U F B P T 0 i I C 8 + P C 9 T d G F i b G V F b n R y a W V z P j w v S X R l b T 4 8 S X R l b T 4 8 S X R l b U x v Y 2 F 0 a W 9 u P j x J d G V t V H l w Z T 5 G b 3 J t d W x h P C 9 J d G V t V H l w Z T 4 8 S X R l b V B h d G g + U 2 V j d G l v b j E v c 2 F s Z X M l M j B k Y X N o Y m 9 h c m 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Y m F y Z 2 l y a S I g L z 4 8 R W 5 0 c n k g V H l w Z T 0 i R m l s b G V k Q 2 9 t c G x l d G V S Z X N 1 b H R U b 1 d v c m t z a G V l d C I g V m F s d W U 9 I m w x I i A v P j x F b n R y e S B U e X B l P S J R d W V y e U l E I i B W Y W x 1 Z T 0 i c z g 4 Y W Q 2 N T k 0 L T d i Y T Y t N D h h Z i 0 5 M W I z L W Y z Z T Q 0 M z N m M D U 5 Y i I g L z 4 8 R W 5 0 c n k g V H l w Z T 0 i R m l s b F R h c m d l d E 5 h b W V D d X N 0 b 2 1 p e m V k I i B W Y W x 1 Z T 0 i b D E i I C 8 + P E V u d H J 5 I F R 5 c G U 9 I k Z p b G x M Y X N 0 V X B k Y X R l Z C I g V m F s d W U 9 I m Q y M D I 1 L T A 4 L T E 4 V D A 2 O j I x O j U w L j E w N D k 4 N z l a I i A v P j x F b n R y e S B U e X B l P S J G a W x s Q 2 9 s d W 1 u V H l w Z X M i I F Z h b H V l P S J z Q m d Z R 0 F 3 T U R C Z z 0 9 I i A v P j x F b n R y e S B U e X B l P S J G a W x s Q 2 9 s d W 1 u T m F t Z X M i I F Z h b H V l P S J z W y Z x d W 9 0 O 9 i q 2 K f Y s d u M 2 K 4 g 2 K j Y p 9 i x 2 q / b j N i x 2 4 w m c X V v d D s s J n F 1 b 3 Q 7 2 Y b Y p 9 m F I N m F 2 L T Y q t i x 2 4 w m c X V v d D s s J n F 1 b 3 Q 7 2 L T Z h d i n 2 L H Z h y D Z v t u M 2 L Q g 2 Y H Y p 9 q p 2 K r Z i N i x J n F 1 b 3 Q 7 L C Z x d W 9 0 O 9 m F 2 4 z Y s t i n 2 Y Y g 2 K j Y p 9 i x 2 q / b j N i x 2 4 w g 2 L T Y r 9 m H J n F 1 b 3 Q 7 L C Z x d W 9 0 O 9 m B 2 4 w m c X V v d D s s J n F 1 b 3 Q 7 2 L P Y p 9 m E J n F 1 b 3 Q 7 L C Z x d W 9 0 O 9 m F 2 K f Z h y Z x d W 9 0 O 1 0 i I C 8 + P E V u d H J 5 I F R 5 c G U 9 I k Z p b G x T d G F 0 d X M i I F Z h b H V l P S J z Q 2 9 t c G x l d G U i I C 8 + P E V u d H J 5 I F R 5 c G U 9 I k Z p b G x F c n J v c k N v d W 5 0 I i B W Y W x 1 Z T 0 i b D A i I C 8 + P E V u d H J 5 I F R 5 c G U 9 I k Z p b G x F c n J v c k N v Z G U i I F Z h b H V l P S J z V W 5 r b m 9 3 b i I g L z 4 8 R W 5 0 c n k g V H l w Z T 0 i R m l s b E N v d W 5 0 I i B W Y W x 1 Z T 0 i b D E 3 M j Y i I C 8 + P E V u d H J 5 I F R 5 c G U 9 I l J l b G F 0 a W 9 u c 2 h p c E l u Z m 9 D b 2 5 0 Y W l u Z X I i I F Z h b H V l P S J z e y Z x d W 9 0 O 2 N v b H V t b k N v d W 5 0 J n F 1 b 3 Q 7 O j c s J n F 1 b 3 Q 7 a 2 V 5 Q 2 9 s d W 1 u T m F t Z X M m c X V v d D s 6 W 1 0 s J n F 1 b 3 Q 7 c X V l c n l S Z W x h d G l v b n N o a X B z J n F 1 b 3 Q 7 O l t d L C Z x d W 9 0 O 2 N v b H V t b k l k Z W 5 0 a X R p Z X M m c X V v d D s 6 W y Z x d W 9 0 O 1 N l Y 3 R p b 2 4 x L 3 N h b G V z I G R h c 2 h i b 2 F y Z C 9 B d X R v U m V t b 3 Z l Z E N v b H V t b n M x L n v Y q t i n 2 L H b j N i u I N i o 2 K f Y s d q v 2 4 z Y s d u M L D B 9 J n F 1 b 3 Q 7 L C Z x d W 9 0 O 1 N l Y 3 R p b 2 4 x L 3 N h b G V z I G R h c 2 h i b 2 F y Z C 9 B d X R v U m V t b 3 Z l Z E N v b H V t b n M x L n v Z h t i n 2 Y U g 2 Y X Y t N i q 2 L H b j C w x f S Z x d W 9 0 O y w m c X V v d D t T Z W N 0 a W 9 u M S 9 z Y W x l c y B k Y X N o Y m 9 h c m Q v Q X V 0 b 1 J l b W 9 2 Z W R D b 2 x 1 b W 5 z M S 5 7 2 L T Z h d i n 2 L H Z h y D Z v t u M 2 L Q g 2 Y H Y p 9 q p 2 K r Z i N i x L D J 9 J n F 1 b 3 Q 7 L C Z x d W 9 0 O 1 N l Y 3 R p b 2 4 x L 3 N h b G V z I G R h c 2 h i b 2 F y Z C 9 B d X R v U m V t b 3 Z l Z E N v b H V t b n M x L n v Z h d u M 2 L L Y p 9 m G I N i o 2 K f Y s d q v 2 4 z Y s d u M I N i 0 2 K / Z h y w z f S Z x d W 9 0 O y w m c X V v d D t T Z W N 0 a W 9 u M S 9 z Y W x l c y B k Y X N o Y m 9 h c m Q v Q X V 0 b 1 J l b W 9 2 Z W R D b 2 x 1 b W 5 z M S 5 7 2 Y H b j C w 0 f S Z x d W 9 0 O y w m c X V v d D t T Z W N 0 a W 9 u M S 9 z Y W x l c y B k Y X N o Y m 9 h c m Q v Q X V 0 b 1 J l b W 9 2 Z W R D b 2 x 1 b W 5 z M S 5 7 2 L P Y p 9 m E L D V 9 J n F 1 b 3 Q 7 L C Z x d W 9 0 O 1 N l Y 3 R p b 2 4 x L 3 N h b G V z I G R h c 2 h i b 2 F y Z C 9 B d X R v U m V t b 3 Z l Z E N v b H V t b n M x L n v Z h d i n 2 Y c s N n 0 m c X V v d D t d L C Z x d W 9 0 O 0 N v b H V t b k N v d W 5 0 J n F 1 b 3 Q 7 O j c s J n F 1 b 3 Q 7 S 2 V 5 Q 2 9 s d W 1 u T m F t Z X M m c X V v d D s 6 W 1 0 s J n F 1 b 3 Q 7 Q 2 9 s d W 1 u S W R l b n R p d G l l c y Z x d W 9 0 O z p b J n F 1 b 3 Q 7 U 2 V j d G l v b j E v c 2 F s Z X M g Z G F z a G J v Y X J k L 0 F 1 d G 9 S Z W 1 v d m V k Q 2 9 s d W 1 u c z E u e 9 i q 2 K f Y s d u M 2 K 4 g 2 K j Y p 9 i x 2 q / b j N i x 2 4 w s M H 0 m c X V v d D s s J n F 1 b 3 Q 7 U 2 V j d G l v b j E v c 2 F s Z X M g Z G F z a G J v Y X J k L 0 F 1 d G 9 S Z W 1 v d m V k Q 2 9 s d W 1 u c z E u e 9 m G 2 K f Z h S D Z h d i 0 2 K r Y s d u M L D F 9 J n F 1 b 3 Q 7 L C Z x d W 9 0 O 1 N l Y 3 R p b 2 4 x L 3 N h b G V z I G R h c 2 h i b 2 F y Z C 9 B d X R v U m V t b 3 Z l Z E N v b H V t b n M x L n v Y t N m F 2 K f Y s d m H I N m + 2 4 z Y t C D Z g d i n 2 q n Y q t m I 2 L E s M n 0 m c X V v d D s s J n F 1 b 3 Q 7 U 2 V j d G l v b j E v c 2 F s Z X M g Z G F z a G J v Y X J k L 0 F 1 d G 9 S Z W 1 v d m V k Q 2 9 s d W 1 u c z E u e 9 m F 2 4 z Y s t i n 2 Y Y g 2 K j Y p 9 i x 2 q / b j N i x 2 4 w g 2 L T Y r 9 m H L D N 9 J n F 1 b 3 Q 7 L C Z x d W 9 0 O 1 N l Y 3 R p b 2 4 x L 3 N h b G V z I G R h c 2 h i b 2 F y Z C 9 B d X R v U m V t b 3 Z l Z E N v b H V t b n M x L n v Z g d u M L D R 9 J n F 1 b 3 Q 7 L C Z x d W 9 0 O 1 N l Y 3 R p b 2 4 x L 3 N h b G V z I G R h c 2 h i b 2 F y Z C 9 B d X R v U m V t b 3 Z l Z E N v b H V t b n M x L n v Y s 9 i n 2 Y Q s N X 0 m c X V v d D s s J n F 1 b 3 Q 7 U 2 V j d G l v b j E v c 2 F s Z X M g Z G F z a G J v Y X J k L 0 F 1 d G 9 S Z W 1 v d m V k Q 2 9 s d W 1 u c z E u e 9 m F 2 K f Z h y w 2 f S Z x d W 9 0 O 1 0 s J n F 1 b 3 Q 7 U m V s Y X R p b 2 5 z a G l w S W 5 m b y Z x d W 9 0 O z p b X X 0 i I C 8 + P E V u d H J 5 I F R 5 c G U 9 I k F k Z G V k V G 9 E Y X R h T W 9 k Z W w i I F Z h b H V l P S J s M C I g L z 4 8 L 1 N 0 Y W J s Z U V u d H J p Z X M + P C 9 J d G V t P j x J d G V t P j x J d G V t T G 9 j Y X R p b 2 4 + P E l 0 Z W 1 U e X B l P k Z v c m 1 1 b G E 8 L 0 l 0 Z W 1 U e X B l P j x J d G V t U G F 0 a D 5 T Z W N 0 a W 9 u M S 9 Q Y X J h b W V 0 Z X I x P C 9 J d G V t U G F 0 a D 4 8 L 0 l 0 Z W 1 M b 2 N h d G l v b j 4 8 U 3 R h Y m x l R W 5 0 c m l l c z 4 8 R W 5 0 c n k g V H l w Z T 0 i S X N Q c m l 2 Y X R l I i B W Y W x 1 Z T 0 i b D A i I C 8 + P E V u d H J 5 I F R 5 c G U 9 I k x v Y W R U b 1 J l c G 9 y d E R p c 2 F i b G V k I i B W Y W x 1 Z T 0 i b D E i I C 8 + P E V u d H J 5 I F R 5 c G U 9 I l F 1 Z X J 5 R 3 J v d X B J R C I g V m F s d W U 9 I n M w M W I x M W F k Y S 0 4 Y z U 5 L T R i O D E t O G I 2 Y y 0 x Z j c 5 N T Y 3 M G E 1 O G I i I C 8 + P E V u d H J 5 I F R 5 c G U 9 I k Z p b G x F b m F i b G V k I i B W Y W x 1 Z T 0 i b D A i I C 8 + P E V u d H J 5 I F R 5 c G U 9 I k Z p b G x P Y m p l Y 3 R U e X B l I i B W Y W x 1 Z T 0 i c 0 N v b m 5 l Y 3 R p b 2 5 P b m x 5 I i A v P j x F b n R y e S B U e X B l P S J G a W x s V G 9 E Y X R h T W 9 k Z W x F b m F i b G V k I i B W Y W x 1 Z T 0 i b D A i I C 8 + P E V u d H J 5 I F R 5 c G U 9 I l J l c 3 V s d F R 5 c G U i I F Z h b H V l P S J z Q m l u Y X J 5 I i A v P j x F b n R y e S B U e X B l P S J G a W x s Z W R D b 2 1 w b G V 0 Z V J l c 3 V s d F R v V 2 9 y a 3 N o Z W V 0 I i B W Y W x 1 Z T 0 i b D A i I C 8 + P E V u d H J 5 I F R 5 c G U 9 I k F k Z G V k V G 9 E Y X R h T W 9 k Z W w i I F Z h b H V l P S J s M C I g L z 4 8 R W 5 0 c n k g V H l w Z T 0 i R m l s b E V y c m 9 y Q 2 9 k Z S I g V m F s d W U 9 I n N V b m t u b 3 d u I i A v P j x F b n R y e S B U e X B l P S J G a W x s T G F z d F V w Z G F 0 Z W Q i I F Z h b H V l P S J k M j A y N S 0 w N C 0 y M 1 Q w N z o 1 M j o w M y 4 y M z U w O D M 2 W i I g L z 4 8 R W 5 0 c n k g V H l w Z T 0 i R m l s b F N 0 Y X R 1 c y I g V m F s d W U 9 I n N D b 2 1 w b G V 0 Z S I g L z 4 8 R W 5 0 c n k g V H l w Z T 0 i U X V l c n l J R C I g V m F s d W U 9 I n N i N j N i O T R j M y 0 1 M m Z m L T Q 2 Z D c t O G I 5 Z S 1 m Y 2 N h O D I w M j U 3 Y z g i I C 8 + P E V u d H J 5 I F R 5 c G U 9 I k J 1 Z m Z l c k 5 l e H R S Z W Z y Z X N o I i B W Y W x 1 Z T 0 i b D E i I C 8 + P E V u d H J 5 I F R 5 c G U 9 I k 5 h d m l n Y X R p b 2 5 T d G V w T m F t Z S I g V m F s d W U 9 I n N O Y X Z p Z 2 F 0 a W 9 u I i A v P j w v U 3 R h Y m x l R W 5 0 c m l l c z 4 8 L 0 l 0 Z W 0 + P E l 0 Z W 0 + P E l 0 Z W 1 M b 2 N h d G l v b j 4 8 S X R l b V R 5 c G U + R m 9 y b X V s Y T w v S X R l b V R 5 c G U + P E l 0 Z W 1 Q Y X R o P l N l Y 3 R p b 2 4 x L 1 N h b X B s Z S U y M E Z p b G U 8 L 0 l 0 Z W 1 Q Y X R o P j w v S X R l b U x v Y 2 F 0 a W 9 u P j x T d G F i b G V F b n R y a W V z P j x F b n R y e S B U e X B l P S J J c 1 B y a X Z h d G U i I F Z h b H V l P S J s M C I g L z 4 8 R W 5 0 c n k g V H l w Z T 0 i T G 9 h Z G V k V G 9 B b m F s e X N p c 1 N l c n Z p Y 2 V z I i B W Y W x 1 Z T 0 i b D A i I C 8 + P E V u d H J 5 I F R 5 c G U 9 I k F k Z G V k V G 9 E Y X R h T W 9 k Z W w i I F Z h b H V l P S J s M C I g L z 4 8 R W 5 0 c n k g V H l w Z T 0 i R m l s b E V y c m 9 y Q 2 9 k Z S I g V m F s d W U 9 I n N V b m t u b 3 d u I i A v P j x F b n R y e S B U e X B l P S J M b 2 F k V G 9 S Z X B v c n R E a X N h Y m x l Z C I g V m F s d W U 9 I m w x I i A v P j x F b n R y e S B U e X B l P S J R d W V y e U d y b 3 V w S U Q i I F Z h b H V l P S J z M D F i M T F h Z G E t O G M 1 O S 0 0 Y j g x L T h i N m M t M W Y 3 O T U 2 N z B h N T h i I i A v P j x F b n R y e S B U e X B l P S J G a W x s R W 5 h Y m x l Z C I g V m F s d W U 9 I m w w I i A v P j x F b n R y e S B U e X B l P S J G a W x s T 2 J q Z W N 0 V H l w Z S I g V m F s d W U 9 I n N D b 2 5 u Z W N 0 a W 9 u T 2 5 s e S I g L z 4 8 R W 5 0 c n k g V H l w Z T 0 i R m l s b F R v R G F 0 Y U 1 v Z G V s R W 5 h Y m x l Z C I g V m F s d W U 9 I m w w I i A v P j x F b n R y e S B U e X B l P S J S Z X N 1 b H R U e X B l I i B W Y W x 1 Z T 0 i c 0 J p b m F y e S I g L z 4 8 R W 5 0 c n k g V H l w Z T 0 i R m l s b G V k Q 2 9 t c G x l d G V S Z X N 1 b H R U b 1 d v c m t z a G V l d C I g V m F s d W U 9 I m w w I i A v P j x F b n R y e S B U e X B l P S J G a W x s T G F z d F V w Z G F 0 Z W Q i I F Z h b H V l P S J k M j A y N S 0 w N C 0 y M 1 Q y M D o w M D o 0 O C 4 5 N j Y y O D E 3 W i I g L z 4 8 R W 5 0 c n k g V H l w Z T 0 i R m l s b F N 0 Y X R 1 c y I g V m F s d W U 9 I n N D b 2 1 w b G V 0 Z S I g L z 4 8 R W 5 0 c n k g V H l w Z T 0 i U X V l c n l J R C I g V m F s d W U 9 I n M 4 N j c w M T N i M i 0 y Z m R j L T R k Z j Q t O W Y 3 N i 1 l M j R k O W U 5 M 2 M z O G E i I C 8 + P E V u d H J 5 I F R 5 c G U 9 I k J 1 Z m Z l c k 5 l e H R S Z W Z y Z X N o I i B W Y W x 1 Z T 0 i b D E i I C 8 + P E V u d H J 5 I F R 5 c G U 9 I k 5 h d m l n Y X R p b 2 5 T d G V w T m F t Z S I g V m F s d W U 9 I n N O Y X Z p Z 2 F 0 a W 9 u I i A v P j w v U 3 R h Y m x l R W 5 0 c m l l c z 4 8 L 0 l 0 Z W 0 + P E l 0 Z W 0 + P E l 0 Z W 1 M b 2 N h d G l v b j 4 8 S X R l b V R 5 c G U + R m 9 y b X V s Y T w v S X R l b V R 5 c G U + P E l 0 Z W 1 Q Y X R o P l N l Y 3 R p b 2 4 x L 1 N h b X B s Z S U y M E Z p b G U v U 2 9 1 c m N l P C 9 J d G V t U G F 0 a D 4 8 L 0 l 0 Z W 1 M b 2 N h d G l v b j 4 8 U 3 R h Y m x l R W 5 0 c m l l c y A v P j w v S X R l b T 4 8 S X R l b T 4 8 S X R l b U x v Y 2 F 0 a W 9 u P j x J d G V t V H l w Z T 5 G b 3 J t d W x h P C 9 J d G V t V H l w Z T 4 8 S X R l b V B h d G g + U 2 V j d G l v b j E v U 2 F t c G x l J T I w R m l s Z S 9 G a W x 0 Z X J l Z C U y M F J v d 3 M 8 L 0 l 0 Z W 1 Q Y X R o P j w v S X R l b U x v Y 2 F 0 a W 9 u P j x T d G F i b G V F b n R y a W V z I C 8 + P C 9 J d G V t P j x J d G V t P j x J d G V t T G 9 j Y X R p b 2 4 + P E l 0 Z W 1 U e X B l P k Z v c m 1 1 b G E 8 L 0 l 0 Z W 1 U e X B l P j x J d G V t U G F 0 a D 5 T Z W N 0 a W 9 u M S 9 T Y W 1 w b G U l M j B G a W x l L 0 5 h d m l n Y X R p b 2 4 x P C 9 J d G V t U G F 0 a D 4 8 L 0 l 0 Z W 1 M b 2 N h d G l v b j 4 8 U 3 R h Y m x l R W 5 0 c m l l c y A v P j w v S X R l b T 4 8 S X R l b T 4 8 S X R l b U x v Y 2 F 0 a W 9 u P j x J d G V t V H l w Z T 5 G b 3 J t d W x h P C 9 J d G V t V H l w Z T 4 8 S X R l b V B h d G g + U 2 V j d G l v b j E v V H J h b n N m b 3 J t J T I w U 2 F t c G x l J T I w R m l s Z T w v S X R l b V B h d G g + P C 9 J d G V t T G 9 j Y X R p b 2 4 + P F N 0 Y W J s Z U V u d H J p Z X M + P E V u d H J 5 I F R 5 c G U 9 I k l z U H J p d m F 0 Z S I g V m F s d W U 9 I m w w I i A v P j x F b n R y e S B U e X B l P S J M b 2 F k V G 9 S Z X B v c n R E a X N h Y m x l Z C I g V m F s d W U 9 I m w x I i A v P j x F b n R y e S B U e X B l P S J R d W V y e U d y b 3 V w S U Q i I F Z h b H V l P S J z O W Q w M m Y 0 M 2 Y t O W U z O S 0 0 M z A 5 L T l k N 2 M t M D c z Y 2 M z M W V k Z D M 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U t M D Q t M j N U M D c 6 N T I 6 M D M u M j M 1 M D g z N l o i I C 8 + P E V u d H J 5 I F R 5 c G U 9 I k Z p b G x T d G F 0 d X M i I F Z h b H V l P S J z Q 2 9 t c G x l d G U i I C 8 + P E V u d H J 5 I F R 5 c G U 9 I l F 1 Z X J 5 S U Q i I F Z h b H V l P S J z N D I 4 N W V l N j Q t Z j c x N C 0 0 Z m R h L T h l O D M t N j A 3 O T A z N m I 0 Z m R m I i A v P j w v U 3 R h Y m x l R W 5 0 c m l l c z 4 8 L 0 l 0 Z W 0 + P E l 0 Z W 0 + P E l 0 Z W 1 M b 2 N h d G l v b j 4 8 S X R l b V R 5 c G U + R m 9 y b X V s Y T w v S X R l b V R 5 c G U + P E l 0 Z W 1 Q Y X R o P l N l Y 3 R p b 2 4 x L 1 R y Y W 5 z Z m 9 y b S U y M F N h b X B s Z S U y M E Z p b G U v U 2 9 1 c m N l P C 9 J d G V t U G F 0 a D 4 8 L 0 l 0 Z W 1 M b 2 N h d G l v b j 4 8 U 3 R h Y m x l R W 5 0 c m l l c y A v P j w v S X R l b T 4 8 S X R l b T 4 8 S X R l b U x v Y 2 F 0 a W 9 u P j x J d G V t V H l w Z T 5 G b 3 J t d W x h P C 9 J d G V t V H l w Z T 4 8 S X R l b V B h d G g + U 2 V j d G l v b j E v V H J h b n N m b 3 J t J T I w U 2 F t c G x l J T I w R m l s Z S 8 l R D g l Q U Q l R D g l Q U Y l R D g l Q T c l R E E l Q T k l R D g l Q U I l R D g l Q j E l M j A 1 M D A w J T I w J U Q 4 J U I x J U R B J U E 5 J U Q 5 J T g 4 J U Q 4 J U I x J U Q 4 J U F G X 1 N o Z W V 0 P C 9 J d G V t U G F 0 a D 4 8 L 0 l 0 Z W 1 M b 2 N h d G l v b j 4 8 U 3 R h Y m x l R W 5 0 c m l l c y A v P j w v S X R l b T 4 8 S X R l b T 4 8 S X R l b U x v Y 2 F 0 a W 9 u P j x J d G V t V H l w Z T 5 G b 3 J t d W x h P C 9 J d G V t V H l w Z T 4 8 S X R l b V B h d G g + U 2 V j d G l v b j E v V H J h b n N m b 3 J t J T I w U 2 F t c G x l J T I w R m l s Z S 9 Q c m 9 t b 3 R l Z C U y M E h l Y W R l c n M 8 L 0 l 0 Z W 1 Q Y X R o P j w v S X R l b U x v Y 2 F 0 a W 9 u P j x T d G F i b G V F b n R y a W V z I C 8 + P C 9 J d G V t P j x J d G V t P j x J d G V t T G 9 j Y X R p b 2 4 + P E l 0 Z W 1 U e X B l P k Z v c m 1 1 b G E 8 L 0 l 0 Z W 1 U e X B l P j x J d G V t U G F 0 a D 5 T Z W N 0 a W 9 u M S 9 U c m F u c 2 Z v c m 0 l M j B G a W x l P C 9 J d G V t U G F 0 a D 4 8 L 0 l 0 Z W 1 M b 2 N h d G l v b j 4 8 U 3 R h Y m x l R W 5 0 c m l l c z 4 8 R W 5 0 c n k g V H l w Z T 0 i T G 9 h Z F R v U m V w b 3 J 0 R G l z Y W J s Z W Q i I F Z h b H V l P S J s M S I g L z 4 8 R W 5 0 c n k g V H l w Z T 0 i U X V l c n l H c m 9 1 c E l E I i B W Y W x 1 Z T 0 i c z A x Y j E x Y W R h L T h j N T k t N G I 4 M S 0 4 Y j Z j L T F m N z k 1 N j c w Y T U 4 Y i I g L 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n V u Y 3 R p b 2 4 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N S 0 w N C 0 y M 1 Q y M D o w M D o 0 O S 4 w M z I y O D U 1 W i I g L z 4 8 R W 5 0 c n k g V H l w Z T 0 i R m l s b F N 0 Y X R 1 c y I g V m F s d W U 9 I n N D b 2 1 w b G V 0 Z S I g L z 4 8 R W 5 0 c n k g V H l w Z T 0 i U X V l c n l J R C I g V m F s d W U 9 I n M x M j V k M z Z l Z C 1 m Z m Q w L T R i N z k t O T J m O S 1 l M j Q z O D h i Z W M x Y 2 Y i I C 8 + P C 9 T d G F i b G V F b n R y a W V z P j w v S X R l b T 4 8 S X R l b T 4 8 S X R l b U x v Y 2 F 0 a W 9 u P j x J d G V t V H l w Z T 5 G b 3 J t d W x h P C 9 J d G V t V H l w Z T 4 8 S X R l b V B h d G g + U 2 V j d G l v b j E v V H J h b n N m b 3 J t J T I w R m l s Z S 9 T b 3 V y Y 2 U 8 L 0 l 0 Z W 1 Q Y X R o P j w v S X R l b U x v Y 2 F 0 a W 9 u P j x T d G F i b G V F b n R y a W V z I C 8 + P C 9 J d G V t P j x J d G V t P j x J d G V t T G 9 j Y X R p b 2 4 + P E l 0 Z W 1 U e X B l P k Z v c m 1 1 b G E 8 L 0 l 0 Z W 1 U e X B l P j x J d G V t U G F 0 a D 5 T Z W N 0 a W 9 u M S 9 Q Z X J z a W F u T W 9 u d G 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0 L T I z V D A 4 O j E y O j M y L j Y 5 N D M w N D l a I i A v P j x F b n R y e S B U e X B l P S J G a W x s U 3 R h d H V z I i B W Y W x 1 Z T 0 i c 0 N v b X B s Z X R l I i A v P j x F b n R y e S B U e X B l P S J R d W V y e U l E I i B W Y W x 1 Z T 0 i c z Y y O G F j Z D F j L W U 0 O D Q t N D h i N y 1 h M T Q 2 L T g 3 N 2 Y 5 M D Y 3 N m Y 0 N i I g L z 4 8 L 1 N 0 Y W J s Z U V u d H J p Z X M + P C 9 J d G V t P j x J d G V t P j x J d G V t T G 9 j Y X R p b 2 4 + P E l 0 Z W 1 U e X B l P k Z v c m 1 1 b G E 8 L 0 l 0 Z W 1 U e X B l P j x J d G V t U G F 0 a D 5 T Z W N 0 a W 9 u M S 9 Q Y X J h b W V 0 Z X I y P C 9 J d G V t U G F 0 a D 4 8 L 0 l 0 Z W 1 M b 2 N h d G l v b j 4 8 U 3 R h Y m x l R W 5 0 c m l l c z 4 8 R W 5 0 c n k g V H l w Z T 0 i S X N Q c m l 2 Y X R l I i B W Y W x 1 Z T 0 i b D A i I C 8 + P E V u d H J 5 I F R 5 c G U 9 I k x v Y W R U b 1 J l c G 9 y d E R p c 2 F i b G V k I i B W Y W x 1 Z T 0 i b D E i I C 8 + P E V u d H J 5 I F R 5 c G U 9 I l F 1 Z X J 5 R 3 J v d X B J R C I g V m F s d W U 9 I n N j M T N m Z T c 2 Y y 1 m M j J h L T Q 1 M T U t Y T N i Z C 0 1 Y W I 3 M W Z i Y j d j Z T g 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E V y c m 9 y Q 2 9 k Z S I g V m F s d W U 9 I n N V b m t u b 3 d u I i A v P j x F b n R y e S B U e X B l P S J B Z G R l Z F R v R G F 0 Y U 1 v Z G V s I i B W Y W x 1 Z T 0 i b D A i I C 8 + P E V u d H J 5 I F R 5 c G U 9 I l J l c 3 V s d F R 5 c G U i I F Z h b H V l P S J z Q m l u Y X J 5 I i A v P j x F b n R y e S B U e X B l P S J G a W x s T G F z d F V w Z G F 0 Z W Q i I F Z h b H V l P S J k M j A y N S 0 w N C 0 y M 1 Q x O T o 1 N z o y O S 4 1 O D I 4 N z c 2 W i I g L z 4 8 R W 5 0 c n k g V H l w Z T 0 i R m l s b F N 0 Y X R 1 c y I g V m F s d W U 9 I n N D b 2 1 w b G V 0 Z S I g L z 4 8 R W 5 0 c n k g V H l w Z T 0 i U X V l c n l J R C I g V m F s d W U 9 I n M w M m E 3 N j M 1 O C 1 h Z W F i L T Q 3 Y 2 M t O T E 3 N C 0 4 Y j l j M T A 1 Y z I 5 N z c i I C 8 + P E V u d H J 5 I F R 5 c G U 9 I k J 1 Z m Z l c k 5 l e H R S Z W Z y Z X N o I i B W Y W x 1 Z T 0 i b D E i I C 8 + P E V u d H J 5 I F R 5 c G U 9 I k 5 h d m l n Y X R p b 2 5 T d G V w T m F t Z S I g V m F s d W U 9 I n N O Y X Z p Z 2 F 0 a W 9 u I i A v P j w v U 3 R h Y m x l R W 5 0 c m l l c z 4 8 L 0 l 0 Z W 0 + P E l 0 Z W 0 + P E l 0 Z W 1 M b 2 N h d G l v b j 4 8 S X R l b V R 5 c G U + R m 9 y b X V s Y T w v S X R l b V R 5 c G U + P E l 0 Z W 1 Q Y X R o P l N l Y 3 R p b 2 4 x L 1 N h b X B s Z S U y M E Z p b G U l M j A o M i k 8 L 0 l 0 Z W 1 Q Y X R o P j w v S X R l b U x v Y 2 F 0 a W 9 u P j x T d G F i b G V F b n R y a W V z P j x F b n R y e S B U e X B l P S J J c 1 B y a X Z h d G U i I F Z h b H V l P S J s M C I g L z 4 8 R W 5 0 c n k g V H l w Z T 0 i U m V j b 3 Z l c n l U Y X J n Z X R S b 3 c i I F Z h b H V l P S J s M S I g L z 4 8 R W 5 0 c n k g V H l w Z T 0 i U m V j b 3 Z l c n l U Y X J n Z X R D b 2 x 1 b W 4 i I F Z h b H V l P S J s M S I g L z 4 8 R W 5 0 c n k g V H l w Z T 0 i U m V j b 3 Z l c n l U Y X J n Z X R T a G V l d C I g V m F s d W U 9 I n P Y s d u M 2 L I g 2 K j Y p 9 i x 2 q / b j N i x 2 4 w 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Q m l u Y X J 5 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3 L C Z x d W 9 0 O 2 t l e U N v b H V t b k 5 h b W V z J n F 1 b 3 Q 7 O l t d L C Z x d W 9 0 O 3 F 1 Z X J 5 U m V s Y X R p b 2 5 z a G l w c y Z x d W 9 0 O z p b X S w m c X V v d D t j b 2 x 1 b W 5 J Z G V u d G l 0 a W V z J n F 1 b 3 Q 7 O l s m c X V v d D t T Z W N 0 a W 9 u M S 9 z Y W x l c y B k Y X N o Y m 9 h c m Q v Q 2 h h b m d l Z C B U e X B l L n v Y q t i n 2 L H b j N i u I N i t 2 Y j Y p 9 m E 2 Y c s M n 0 m c X V v d D s s J n F 1 b 3 Q 7 U 2 V j d G l v b j E v c 2 F s Z X M g Z G F z a G J v Y X J k L 0 N o Y W 5 n Z W Q g V H l w Z S 5 7 2 Y b Y p 9 m F I N m F 2 L T Y q t i x 2 4 w s M T F 9 J n F 1 b 3 Q 7 L C Z x d W 9 0 O 1 N l Y 3 R p b 2 4 x L 3 N h b G V z I G R h c 2 h i b 2 F y Z C 9 D a G F u Z 2 V k I F R 5 c G U u e 9 i 0 2 Y X Y p 9 i x 2 Y c g 2 L P Z h t i v I N m F 2 K j Z h t i n L D Z 9 J n F 1 b 3 Q 7 L C Z x d W 9 0 O 1 N l Y 3 R p b 2 4 x L 3 N h b G V z I G R h c 2 h i b 2 F y Z C 9 D a G F u Z 2 V k I F R 5 c G U u e 9 m F 2 Y L Y r 9 i n 2 L E g 2 K r Y r d m I 2 4 z Z h C D Z g d i x 2 Y j Y t C D Y t N i v 2 Y c s M T V 9 J n F 1 b 3 Q 7 L C Z x d W 9 0 O 1 N l Y 3 R p b 2 4 x L 3 N h b G V z I G R h c 2 h i b 2 F y Z C 9 D a G F u Z 2 V k I F R 5 c G U u e 9 m B 2 4 w s M T d 9 J n F 1 b 3 Q 7 L C Z x d W 9 0 O 1 N l Y 3 R p b 2 4 x L 3 N h b G V z I G R h c 2 h i b 2 F y Z C 9 B Z G R l Z C B D d X N 0 b 2 0 u e 0 N 1 c 3 R v b S w 3 f S Z x d W 9 0 O y w m c X V v d D t T Z W N 0 a W 9 u M S 9 z Y W x l c y B k Y X N o Y m 9 h c m Q v Q 2 h h b m d l Z C B U e X B l M S 5 7 R m l y c 3 Q g Q 2 h h c m F j d G V y c y w 1 f S Z x d W 9 0 O 1 0 s J n F 1 b 3 Q 7 Q 2 9 s d W 1 u Q 2 9 1 b n Q m c X V v d D s 6 N y w m c X V v d D t L Z X l D b 2 x 1 b W 5 O Y W 1 l c y Z x d W 9 0 O z p b X S w m c X V v d D t D b 2 x 1 b W 5 J Z G V u d G l 0 a W V z J n F 1 b 3 Q 7 O l s m c X V v d D t T Z W N 0 a W 9 u M S 9 z Y W x l c y B k Y X N o Y m 9 h c m Q v Q 2 h h b m d l Z C B U e X B l L n v Y q t i n 2 L H b j N i u I N i t 2 Y j Y p 9 m E 2 Y c s M n 0 m c X V v d D s s J n F 1 b 3 Q 7 U 2 V j d G l v b j E v c 2 F s Z X M g Z G F z a G J v Y X J k L 0 N o Y W 5 n Z W Q g V H l w Z S 5 7 2 Y b Y p 9 m F I N m F 2 L T Y q t i x 2 4 w s M T F 9 J n F 1 b 3 Q 7 L C Z x d W 9 0 O 1 N l Y 3 R p b 2 4 x L 3 N h b G V z I G R h c 2 h i b 2 F y Z C 9 D a G F u Z 2 V k I F R 5 c G U u e 9 i 0 2 Y X Y p 9 i x 2 Y c g 2 L P Z h t i v I N m F 2 K j Z h t i n L D Z 9 J n F 1 b 3 Q 7 L C Z x d W 9 0 O 1 N l Y 3 R p b 2 4 x L 3 N h b G V z I G R h c 2 h i b 2 F y Z C 9 D a G F u Z 2 V k I F R 5 c G U u e 9 m F 2 Y L Y r 9 i n 2 L E g 2 K r Y r d m I 2 4 z Z h C D Z g d i x 2 Y j Y t C D Y t N i v 2 Y c s M T V 9 J n F 1 b 3 Q 7 L C Z x d W 9 0 O 1 N l Y 3 R p b 2 4 x L 3 N h b G V z I G R h c 2 h i b 2 F y Z C 9 D a G F u Z 2 V k I F R 5 c G U u e 9 m B 2 4 w s M T d 9 J n F 1 b 3 Q 7 L C Z x d W 9 0 O 1 N l Y 3 R p b 2 4 x L 3 N h b G V z I G R h c 2 h i b 2 F y Z C 9 B Z G R l Z C B D d X N 0 b 2 0 u e 0 N 1 c 3 R v b S w 3 f S Z x d W 9 0 O y w m c X V v d D t T Z W N 0 a W 9 u M S 9 z Y W x l c y B k Y X N o Y m 9 h c m Q v Q 2 h h b m d l Z C B U e X B l M S 5 7 R m l y c 3 Q g Q 2 h h c m F j d G V y c y w 1 f S Z x d W 9 0 O 1 0 s J n F 1 b 3 Q 7 U m V s Y X R p b 2 5 z a G l w S W 5 m b y Z x d W 9 0 O z p b X X 0 i I C 8 + P E V u d H J 5 I F R 5 c G U 9 I k Z p b G x T d G F 0 d X M i I F Z h b H V l P S J z Q 2 9 t c G x l d G U i I C 8 + P E V u d H J 5 I F R 5 c G U 9 I k Z p b G x M Y X N 0 V X B k Y X R l Z C I g V m F s d W U 9 I m Q y M D I 1 L T A 0 L T I z V D E 5 O j U 1 O j Q w L j g 4 M T Y 2 M D Z a I i A v P j x F b n R y e S B U e X B l P S J M b 2 F k Z W R U b 0 F u Y W x 5 c 2 l z U 2 V y d m l j Z X M i I F Z h b H V l P S J s M C I g L z 4 8 R W 5 0 c n k g V H l w Z T 0 i T G 9 h Z F R v U m V w b 3 J 0 R G l z Y W J s Z W Q i I F Z h b H V l P S J s M S I g L z 4 8 R W 5 0 c n k g V H l w Z T 0 i U X V l c n l H c m 9 1 c E l E I i B W Y W x 1 Z T 0 i c 2 M x M 2 Z l N z Z j L W Y y M m E t N D U x N S 1 h M 2 J k L T V h Y j c x Z m J i N 2 N l O C I g L z 4 8 R W 5 0 c n k g V H l w Z T 0 i R m l s b E V y c m 9 y Q 2 9 k Z S I g V m F s d W U 9 I n N V b m t u b 3 d u I i A v P j x F b n R y e S B U e X B l P S J B Z G R l Z F R v R G F 0 Y U 1 v Z G V s I i B W Y W x 1 Z T 0 i b D A i I C 8 + P E V u d H J 5 I F R 5 c G U 9 I l F 1 Z X J 5 S U Q i I F Z h b H V l P S J z O T Z i N z Y 1 O G U t O G M w Y S 0 0 Y T l i L W J j Z j k t M T U z N T I y N G E 5 N W I 3 I i A v P j w v U 3 R h Y m x l R W 5 0 c m l l c z 4 8 L 0 l 0 Z W 0 + P E l 0 Z W 0 + P E l 0 Z W 1 M b 2 N h d G l v b j 4 8 S X R l b V R 5 c G U + R m 9 y b X V s Y T w v S X R l b V R 5 c G U + P E l 0 Z W 1 Q Y X R o P l N l Y 3 R p b 2 4 x L 1 N h b X B s Z S U y M E Z p b G U l M j A o M i k v U 2 9 1 c m N l P C 9 J d G V t U G F 0 a D 4 8 L 0 l 0 Z W 1 M b 2 N h d G l v b j 4 8 U 3 R h Y m x l R W 5 0 c m l l c y A v P j w v S X R l b T 4 8 S X R l b T 4 8 S X R l b U x v Y 2 F 0 a W 9 u P j x J d G V t V H l w Z T 5 G b 3 J t d W x h P C 9 J d G V t V H l w Z T 4 8 S X R l b V B h d G g + U 2 V j d G l v b j E v U 2 F t c G x l J T I w R m l s Z S U y M C g y K S 9 G a W x 0 Z X J l Z C U y M F J v d 3 M 8 L 0 l 0 Z W 1 Q Y X R o P j w v S X R l b U x v Y 2 F 0 a W 9 u P j x T d G F i b G V F b n R y a W V z I C 8 + P C 9 J d G V t P j x J d G V t P j x J d G V t T G 9 j Y X R p b 2 4 + P E l 0 Z W 1 U e X B l P k Z v c m 1 1 b G E 8 L 0 l 0 Z W 1 U e X B l P j x J d G V t U G F 0 a D 5 T Z W N 0 a W 9 u M S 9 T Y W 1 w b G U l M j B G a W x l J T I w K D I p L 0 l u d m 9 r Z S U y M E N 1 c 3 R v b S U y M E Z 1 b m N 0 a W 9 u M T w v S X R l b V B h d G g + P C 9 J d G V t T G 9 j Y X R p b 2 4 + P F N 0 Y W J s Z U V u d H J p Z X M g L z 4 8 L 0 l 0 Z W 0 + P E l 0 Z W 0 + P E l 0 Z W 1 M b 2 N h d G l v b j 4 8 S X R l b V R 5 c G U + R m 9 y b X V s Y T w v S X R l b V R 5 c G U + P E l 0 Z W 1 Q Y X R o P l N l Y 3 R p b 2 4 x L 1 N h b X B s Z S U y M E Z p b G U l M j A o M i k v T m F 2 a W d h d G l v b j E 8 L 0 l 0 Z W 1 Q Y X R o P j w v S X R l b U x v Y 2 F 0 a W 9 u P j x T d G F i b G V F b n R y a W V z I C 8 + P C 9 J d G V t P j x J d G V t P j x J d G V t T G 9 j Y X R p b 2 4 + P E l 0 Z W 1 U e X B l P k Z v c m 1 1 b G E 8 L 0 l 0 Z W 1 U e X B l P j x J d G V t U G F 0 a D 5 T Z W N 0 a W 9 u M S 9 U c m F u c 2 Z v c m 0 l M j B T Y W 1 w b G U l M j B G a W x l J T I w K D I p P C 9 J d G V t U G F 0 a D 4 8 L 0 l 0 Z W 1 M b 2 N h d G l v b j 4 8 U 3 R h Y m x l R W 5 0 c m l l c z 4 8 R W 5 0 c n k g V H l w Z T 0 i S X N Q c m l 2 Y X R l I i B W Y W x 1 Z T 0 i b D A i I C 8 + P E V u d H J 5 I F R 5 c G U 9 I k x v Y W R U b 1 J l c G 9 y d E R p c 2 F i b G V k I i B W Y W x 1 Z T 0 i b D E i I C 8 + P E V u d H J 5 I F R 5 c G U 9 I l F 1 Z X J 5 R 3 J v d X B J R C I g V m F s d W U 9 I n M 1 M j Q 0 N m I w O C 0 2 M D k 0 L T R l O D Y t O T h k N C 0 0 Z j Q 5 Z W E x N D l j M G Q 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Z p b G x l Z E N v b X B s Z X R l U m V z d W x 0 V G 9 X b 3 J r c 2 h l Z X Q i I F Z h b H V l P S J s M C I g L z 4 8 R W 5 0 c n k g V H l w Z T 0 i Q W R k Z W R U b 0 R h d G F N b 2 R l b C I g V m F s d W U 9 I m w w I i A v P j x F b n R y e S B U e X B l P S J G a W x s R X J y b 3 J D b 2 R l I i B W Y W x 1 Z T 0 i c 1 V u a 2 5 v d 2 4 i I C 8 + P E V u d H J 5 I F R 5 c G U 9 I k Z p b G x M Y X N 0 V X B k Y X R l Z C I g V m F s d W U 9 I m Q y M D I 1 L T A 0 L T I z V D A 4 O j I x O j M 1 L j Y y O T M 1 O T B a I i A v P j x F b n R y e S B U e X B l P S J G a W x s U 3 R h d H V z I i B W Y W x 1 Z T 0 i c 0 N v b X B s Z X R l I i A v P j x F b n R y e S B U e X B l P S J O Y X Z p Z 2 F 0 a W 9 u U 3 R l c E 5 h b W U i I F Z h b H V l P S J z T m F 2 a W d h d G l v b i I g L z 4 8 R W 5 0 c n k g V H l w Z T 0 i U X V l c n l J R C I g V m F s d W U 9 I n N j M z M 4 Y 2 M 2 Y y 1 l Z W E 0 L T Q w Y 2 Y t Y T Q 2 N y 1 j O D c w N j V k N D N k Z G Q i I C 8 + P C 9 T d G F i b G V F b n R y a W V z P j w v S X R l b T 4 8 S X R l b T 4 8 S X R l b U x v Y 2 F 0 a W 9 u P j x J d G V t V H l w Z T 5 G b 3 J t d W x h P C 9 J d G V t V H l w Z T 4 8 S X R l b V B h d G g + U 2 V j d G l v b j E v V H J h b n N m b 3 J t J T I w U 2 F t c G x l J T I w R m l s Z S U y M C g y K S 9 T b 3 V y Y 2 U 8 L 0 l 0 Z W 1 Q Y X R o P j w v S X R l b U x v Y 2 F 0 a W 9 u P j x T d G F i b G V F b n R y a W V z I C 8 + P C 9 J d G V t P j x J d G V t P j x J d G V t T G 9 j Y X R p b 2 4 + P E l 0 Z W 1 U e X B l P k Z v c m 1 1 b G E 8 L 0 l 0 Z W 1 U e X B l P j x J d G V t U G F 0 a D 5 T Z W N 0 a W 9 u M S 9 U c m F u c 2 Z v c m 0 l M j B T Y W 1 w b G U l M j B G a W x l J T I w K D I p L y V E O C V B R C V E O C V B R i V E O C V B N y V E Q S V B O S V E O C V B Q i V E O C V C M S U y M D U w M D A l M j A l R D g l Q j E l R E E l Q T k l R D k l O D g l R D g l Q j E l R D g l Q U Z f U 2 h l Z X Q 8 L 0 l 0 Z W 1 Q Y X R o P j w v S X R l b U x v Y 2 F 0 a W 9 u P j x T d G F i b G V F b n R y a W V z I C 8 + P C 9 J d G V t P j x J d G V t P j x J d G V t T G 9 j Y X R p b 2 4 + P E l 0 Z W 1 U e X B l P k Z v c m 1 1 b G E 8 L 0 l 0 Z W 1 U e X B l P j x J d G V t U G F 0 a D 5 T Z W N 0 a W 9 u M S 9 U c m F u c 2 Z v c m 0 l M j B T Y W 1 w b G U l M j B G a W x l J T I w K D I p L 1 B y b 2 1 v d G V k J T I w S G V h Z G V y c z w v S X R l b V B h d G g + P C 9 J d G V t T G 9 j Y X R p b 2 4 + P F N 0 Y W J s Z U V u d H J p Z X M g L z 4 8 L 0 l 0 Z W 0 + P E l 0 Z W 0 + P E l 0 Z W 1 M b 2 N h d G l v b j 4 8 S X R l b V R 5 c G U + R m 9 y b X V s Y T w v S X R l b V R 5 c G U + P E l 0 Z W 1 Q Y X R o P l N l Y 3 R p b 2 4 x L 1 R y Y W 5 z Z m 9 y b S U y M E Z p b G U l M j A o M i k 8 L 0 l 0 Z W 1 Q Y X R o P j w v S X R l b U x v Y 2 F 0 a W 9 u P j x T d G F i b G V F b n R y a W V z P j x F b n R y e S B U e X B l P S J M b 2 F k V G 9 S Z X B v c n R E a X N h Y m x l Z C I g V m F s d W U 9 I m w x I i A v P j x F b n R y e S B U e X B l P S J R d W V y e U d y b 3 V w S U Q i I F Z h b H V l P S J z Y z E z Z m U 3 N m M t Z j I y Y S 0 0 N T E 1 L W E z Y m Q t N W F i N z F m Y m I 3 Y 2 U 4 I i A v 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G d W 5 j d G l v b i I g L z 4 8 R W 5 0 c n k g V H l w Z T 0 i R m l s b G V k Q 2 9 t c G x l d G V S Z X N 1 b H R U b 1 d v c m t z a G V l d C I g V m F s d W U 9 I m w w I i A v P j x F b n R y e S B U e X B l P S J G a W x s R X J y b 3 J D b 2 R l I i B W Y W x 1 Z T 0 i c 1 V u a 2 5 v d 2 4 i I C 8 + P E V u d H J 5 I F R 5 c G U 9 I k F k Z G V k V G 9 E Y X R h T W 9 k Z W w i I F Z h b H V l P S J s M C I g L z 4 8 R W 5 0 c n k g V H l w Z T 0 i R m l s b E x h c 3 R V c G R h d G V k I i B W Y W x 1 Z T 0 i Z D I w M j U t M D Q t M j N U M T k 6 N D U 6 N D g u N T c 3 N z g y N 1 o i I C 8 + P E V u d H J 5 I F R 5 c G U 9 I k Z p b G x T d G F 0 d X M i I F Z h b H V l P S J z Q 2 9 t c G x l d G U i I C 8 + P E V u d H J 5 I F R 5 c G U 9 I k 5 h d m l n Y X R p b 2 5 T d G V w T m F t Z S I g V m F s d W U 9 I n N O Y X Z p Z 2 F 0 a W 9 u I i A v P j x F b n R y e S B U e X B l P S J R d W V y e U l E I i B W Y W x 1 Z T 0 i c z F k N T N h Y T h m L W V h M m I t N G J i N S 0 4 O T d i L T h m Z T I 5 N D M 3 N z R h N S I g L z 4 8 L 1 N 0 Y W J s Z U V u d H J p Z X M + P C 9 J d G V t P j x J d G V t P j x J d G V t T G 9 j Y X R p b 2 4 + P E l 0 Z W 1 U e X B l P k Z v c m 1 1 b G E 8 L 0 l 0 Z W 1 U e X B l P j x J d G V t U G F 0 a D 5 T Z W N 0 a W 9 u M S 9 U c m F u c 2 Z v c m 0 l M j B G a W x l J T I w K D I p L 1 N v d X J j Z T w v S X R l b V B h d G g + P C 9 J d G V t T G 9 j Y X R p b 2 4 + P F N 0 Y W J s Z U V u d H J p Z X M g L z 4 8 L 0 l 0 Z W 0 + P E l 0 Z W 0 + P E l 0 Z W 1 M b 2 N h d G l v b j 4 8 S X R l b V R 5 c G U + R m 9 y b X V s Y T w v S X R l b V R 5 c G U + P E l 0 Z W 1 Q Y X R o P l N l Y 3 R p b 2 4 x L 0 Z p b G V B Z G R 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V 4 d C I g L z 4 8 R W 5 0 c n k g V H l w Z T 0 i T m F t Z V V w Z G F 0 Z W R B Z n R l c k Z p b G w i I F Z h b H V l P S J s M S I g L z 4 8 R W 5 0 c n k g V H l w Z T 0 i T m F 2 a W d h d G l v b l N 0 Z X B O Y W 1 l I i B W Y W x 1 Z T 0 i c 0 5 h d m l n Y X R p b 2 4 i I C 8 + P E V u d H J 5 I F R 5 c G U 9 I k Z p b G x l Z E N v b X B s Z X R l U m V z d W x 0 V G 9 X b 3 J r c 2 h l Z X Q i I F Z h b H V l P S J s M C I g L z 4 8 R W 5 0 c n k g V H l w Z T 0 i R m l s b F N 0 Y X R 1 c y I g V m F s d W U 9 I n N D b 2 1 w b G V 0 Z S I g L z 4 8 R W 5 0 c n k g V H l w Z T 0 i R m l s b E x h c 3 R V c G R h d G V k I i B W Y W x 1 Z T 0 i Z D I w M j U t M D Q t M j N U M T k 6 N T U 6 N D A u O T M 3 N j Y z O F o i I C 8 + P E V u d H J 5 I F R 5 c G U 9 I k Z p b G x F c n J v c k N v Z G U i I F Z h b H V l P S J z V W 5 r b m 9 3 b i I g L z 4 8 R W 5 0 c n k g V H l w Z T 0 i Q W R k Z W R U b 0 R h d G F N b 2 R l b C I g V m F s d W U 9 I m w w I i A v P j x F b n R y e S B U e X B l P S J R d W V y e U l E I i B W Y W x 1 Z T 0 i c z I w Z D V m Y z U 0 L T l h Y T k t N D E 5 N i 0 4 O T Z h L W U x Y z Z j M T k w N z k 4 Y S I g L z 4 8 L 1 N 0 Y W J s Z U V u d H J p Z X M + P C 9 J d G V t P j x J d G V t P j x J d G V t T G 9 j Y X R p b 2 4 + P E l 0 Z W 1 U e X B l P k Z v c m 1 1 b G E 8 L 0 l 0 Z W 1 U e X B l P j x J d G V t U G F 0 a D 5 T Z W N 0 a W 9 u M S 9 G a W x l Q W R k c m V z c y 9 T b 3 V y Y 2 U 8 L 0 l 0 Z W 1 Q Y X R o P j w v S X R l b U x v Y 2 F 0 a W 9 u P j x T d G F i b G V F b n R y a W V z I C 8 + P C 9 J d G V t P j x J d G V t P j x J d G V t T G 9 j Y X R p b 2 4 + P E l 0 Z W 1 U e X B l P k Z v c m 1 1 b G E 8 L 0 l 0 Z W 1 U e X B l P j x J d G V t U G F 0 a D 5 T Z W N 0 a W 9 u M S 9 z Y W x l c y U y M G R h c 2 h i b 2 F y Z C 9 Q Y X R o P C 9 J d G V t U G F 0 a D 4 8 L 0 l 0 Z W 1 M b 2 N h d G l v b j 4 8 U 3 R h Y m x l R W 5 0 c m l l c y A v P j w v S X R l b T 4 8 S X R l b T 4 8 S X R l b U x v Y 2 F 0 a W 9 u P j x J d G V t V H l w Z T 5 G b 3 J t d W x h P C 9 J d G V t V H l w Z T 4 8 S X R l b V B h d G g + U 2 V j d G l v b j E v c 2 F s Z X M l M j B k Y X N o Y m 9 h c m Q v U 2 9 1 c m N l P C 9 J d G V t U G F 0 a D 4 8 L 0 l 0 Z W 1 M b 2 N h d G l v b j 4 8 U 3 R h Y m x l R W 5 0 c m l l c y A v P j w v S X R l b T 4 8 S X R l b T 4 8 S X R l b U x v Y 2 F 0 a W 9 u P j x J d G V t V H l w Z T 5 G b 3 J t d W x h P C 9 J d G V t V H l w Z T 4 8 S X R l b V B h d G g + U 2 V j d G l v b j E v c 2 F s Z X M l M j B k Y X N o Y m 9 h c m Q v R m l s d G V y Z W Q l M j B S b 3 d z P C 9 J d G V t U G F 0 a D 4 8 L 0 l 0 Z W 1 M b 2 N h d G l v b j 4 8 U 3 R h Y m x l R W 5 0 c m l l c y A v P j w v S X R l b T 4 8 S X R l b T 4 8 S X R l b U x v Y 2 F 0 a W 9 u P j x J d G V t V H l w Z T 5 G b 3 J t d W x h P C 9 J d G V t V H l w Z T 4 8 S X R l b V B h d G g + U 2 V j d G l v b j E v c 2 F s Z X M l M j B k Y X N o Y m 9 h c m Q v S W 5 2 b 2 t l J T I w Q 3 V z d G 9 t J T I w R n V u Y 3 R p b 2 4 y P C 9 J d G V t U G F 0 a D 4 8 L 0 l 0 Z W 1 M b 2 N h d G l v b j 4 8 U 3 R h Y m x l R W 5 0 c m l l c y A v P j w v S X R l b T 4 8 S X R l b T 4 8 S X R l b U x v Y 2 F 0 a W 9 u P j x J d G V t V H l w Z T 5 G b 3 J t d W x h P C 9 J d G V t V H l w Z T 4 8 S X R l b V B h d G g + U 2 V j d G l v b j E v c 2 F s Z X M l M j B k Y X N o Y m 9 h c m Q v U m V t b 3 Z l Z C U y M E 9 0 a G V y J T I w Q 2 9 s d W 1 u c z I 8 L 0 l 0 Z W 1 Q Y X R o P j w v S X R l b U x v Y 2 F 0 a W 9 u P j x T d G F i b G V F b n R y a W V z I C 8 + P C 9 J d G V t P j x J d G V t P j x J d G V t T G 9 j Y X R p b 2 4 + P E l 0 Z W 1 U e X B l P k Z v c m 1 1 b G E 8 L 0 l 0 Z W 1 U e X B l P j x J d G V t U G F 0 a D 5 T Z W N 0 a W 9 u M S 9 z Y W x l c y U y M G R h c 2 h i b 2 F y Z C 9 F e H B h b m R l Z C U y M F R h Y m x l J T I w Q 2 9 s d W 1 u M j w v S X R l b V B h d G g + P C 9 J d G V t T G 9 j Y X R p b 2 4 + P F N 0 Y W J s Z U V u d H J p Z X M g L z 4 8 L 0 l 0 Z W 0 + P E l 0 Z W 0 + P E l 0 Z W 1 M b 2 N h d G l v b j 4 8 S X R l b V R 5 c G U + R m 9 y b X V s Y T w v S X R l b V R 5 c G U + P E l 0 Z W 1 Q Y X R o P l N l Y 3 R p b 2 4 x L 3 N h b G V z J T I w Z G F z a G J v Y X J k L 1 J l b W 9 2 Z W Q l M j B P d G h l c i U y M E N v b H V t b n M x P C 9 J d G V t U G F 0 a D 4 8 L 0 l 0 Z W 1 M b 2 N h d G l v b j 4 8 U 3 R h Y m x l R W 5 0 c m l l c y A v P j w v S X R l b T 4 8 S X R l b T 4 8 S X R l b U x v Y 2 F 0 a W 9 u P j x J d G V t V H l w Z T 5 G b 3 J t d W x h P C 9 J d G V t V H l w Z T 4 8 S X R l b V B h d G g + U 2 V j d G l v b j E v c 2 F s Z X M l M j B k Y X N o Y m 9 h c m Q v U m V u Y W 1 l Z C U y M E N v b H V t b n M 8 L 0 l 0 Z W 1 Q Y X R o P j w v S X R l b U x v Y 2 F 0 a W 9 u P j x T d G F i b G V F b n R y a W V z I C 8 + P C 9 J d G V t P j x J d G V t P j x J d G V t T G 9 j Y X R p b 2 4 + P E l 0 Z W 1 U e X B l P k Z v c m 1 1 b G E 8 L 0 l 0 Z W 1 U e X B l P j x J d G V t U G F 0 a D 5 T Z W N 0 a W 9 u M S 9 z Y W x l c y U y M G R h c 2 h i b 2 F y Z C 9 J b n N l c n R l Z C U y M E Z p c n N 0 J T I w Q 2 h h c m F j d G V y c z w v S X R l b V B h d G g + P C 9 J d G V t T G 9 j Y X R p b 2 4 + P F N 0 Y W J s Z U V u d H J p Z X M g L z 4 8 L 0 l 0 Z W 0 + P E l 0 Z W 0 + P E l 0 Z W 1 M b 2 N h d G l v b j 4 8 S X R l b V R 5 c G U + R m 9 y b X V s Y T w v S X R l b V R 5 c G U + P E l 0 Z W 1 Q Y X R o P l N l Y 3 R p b 2 4 x L 3 N h b G V z J T I w Z G F z a G J v Y X J k L 1 J l b m F t Z W Q l M j B D b 2 x 1 b W 5 z M z w v S X R l b V B h d G g + P C 9 J d G V t T G 9 j Y X R p b 2 4 + P F N 0 Y W J s Z U V u d H J p Z X M g L z 4 8 L 0 l 0 Z W 0 + P E l 0 Z W 0 + P E l 0 Z W 1 M b 2 N h d G l v b j 4 8 S X R l b V R 5 c G U + R m 9 y b X V s Y T w v S X R l b V R 5 c G U + P E l 0 Z W 1 Q Y X R o P l N l Y 3 R p b 2 4 x L 3 N h b G V z J T I w Z G F z a G J v Y X J k L 0 l u c 2 V y d G V k J T I w V G V 4 d C U y M E J l d H d l Z W 4 l M j B E Z W x p b W l 0 Z X J z M T w v S X R l b V B h d G g + P C 9 J d G V t T G 9 j Y X R p b 2 4 + P F N 0 Y W J s Z U V u d H J p Z X M g L z 4 8 L 0 l 0 Z W 0 + P E l 0 Z W 0 + P E l 0 Z W 1 M b 2 N h d G l v b j 4 8 S X R l b V R 5 c G U + R m 9 y b X V s Y T w v S X R l b V R 5 c G U + P E l 0 Z W 1 Q Y X R o P l N l Y 3 R p b 2 4 x L 3 N h b G V z J T I w Z G F z a G J v Y X J k L 0 F k Z G V k J T I w Q 3 V z d G 9 t P C 9 J d G V t U G F 0 a D 4 8 L 0 l 0 Z W 1 M b 2 N h d G l v b j 4 8 U 3 R h Y m x l R W 5 0 c m l l c y A v P j w v S X R l b T 4 8 S X R l b T 4 8 S X R l b U x v Y 2 F 0 a W 9 u P j x J d G V t V H l w Z T 5 G b 3 J t d W x h P C 9 J d G V t V H l w Z T 4 8 S X R l b V B h d G g + U 2 V j d G l v b j E v c 2 F s Z X M l M j B k Y X N o Y m 9 h c m Q v U m V t b 3 Z l Z C U y M E N v b H V t b n M 8 L 0 l 0 Z W 1 Q Y X R o P j w v S X R l b U x v Y 2 F 0 a W 9 u P j x T d G F i b G V F b n R y a W V z I C 8 + P C 9 J d G V t P j x J d G V t P j x J d G V t T G 9 j Y X R p b 2 4 + P E l 0 Z W 1 U e X B l P k Z v c m 1 1 b G E 8 L 0 l 0 Z W 1 U e X B l P j x J d G V t U G F 0 a D 5 T Z W N 0 a W 9 u M S 9 z Y W x l c y U y M G R h c 2 h i b 2 F y Z C 9 S Z W 5 h b W V k J T I w Q 2 9 s d W 1 u c z Q 8 L 0 l 0 Z W 1 Q Y X R o P j w v S X R l b U x v Y 2 F 0 a W 9 u P j x T d G F i b G V F b n R y a W V z I C 8 + P C 9 J d G V t P j x J d G V t P j x J d G V t T G 9 j Y X R p b 2 4 + P E l 0 Z W 1 U e X B l P k Z v c m 1 1 b G E 8 L 0 l 0 Z W 1 U e X B l P j x J d G V t U G F 0 a D 5 T Z W N 0 a W 9 u M S 9 z Y W x l c y U y M G R h c 2 h i b 2 F y Z C 9 D a G F u Z 2 V k J T I w V H l w Z T w v S X R l b V B h d G g + P C 9 J d G V t T G 9 j Y X R p b 2 4 + P F N 0 Y W J s Z U V u d H J p Z X M g L z 4 8 L 0 l 0 Z W 0 + P E l 0 Z W 0 + P E l 0 Z W 1 M b 2 N h d G l v b j 4 8 S X R l b V R 5 c G U + R m 9 y b X V s Y T w v S X R l b V R 5 c G U + P E l 0 Z W 1 Q Y X R o P l N l Y 3 R p b 2 4 x L 1 N h b X B s Z S U y M E Z p b G U l M j A o M i k v U G F 0 a D w v S X R l b V B h d G g + P C 9 J d G V t T G 9 j Y X R p b 2 4 + P F N 0 Y W J s Z U V u d H J p Z X M g L z 4 8 L 0 l 0 Z W 0 + P E l 0 Z W 0 + P E l 0 Z W 1 M b 2 N h d G l v b j 4 8 S X R l b V R 5 c G U + R m 9 y b X V s Y T w v S X R l b V R 5 c G U + P E l 0 Z W 1 Q Y X R o P l N l Y 3 R p b 2 4 x L 1 N h b X B s Z S U y M E Z p b G U v U G F 0 a D w v S X R l b V B h d G g + P C 9 J d G V t T G 9 j Y X R p b 2 4 + P F N 0 Y W J s Z U V u d H J p Z X M g L z 4 8 L 0 l 0 Z W 0 + P C 9 J d G V t c z 4 8 L 0 x v Y 2 F s U G F j a 2 F n Z U 1 l d G F k Y X R h R m l s Z T 4 W A A A A U E s F B g A A A A A A A A A A A A A A A A A A A A A A A N o A A A A B A A A A 0 I y d 3 w E V 0 R G M e g D A T 8 K X 6 w E A A A C 2 l P U 4 a g k J Q I Y r g L f J z u v 3 A A A A A A I A A A A A A A N m A A D A A A A A E A A A A J + q a D A F w N i f J i F + Q r q u 0 C g A A A A A B I A A A K A A A A A Q A A A A t I f T m I m 8 4 W v x e g y u D D y H 3 V A A A A D 2 I m J U 2 Y d / m 7 6 Q m 4 L T K y U y n O 5 O r t j 9 l 1 d V X x H M 7 K O d X G 2 B n R x I W 4 g v D K 5 B k k 9 2 7 O s 8 X e J 5 t M R T r + a W h P + U I a D q b D x N Q A H O t 8 5 T V N 8 n w t J c e h Q A A A D N 3 K U z q 2 z r B 4 t 7 X q D 9 + 7 i e 3 4 B u Z Q = = < / D a t a M a s h u p > 
</file>

<file path=customXml/item3.xml>��< ? x m l   v e r s i o n = " 1 . 0 "   e n c o d i n g = " U T F - 1 6 " ? > < G e m i n i   x m l n s = " h t t p : / / g e m i n i / p i v o t c u s t o m i z a t i o n / C l i e n t W i n d o w X M L " > < C u s t o m C o n t e n t > < ! [ C D A T A [ i n v o i c e ] ] > < / 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 7 5 < / H e i g h t > < / S a n d b o x E d i t o r . F o r m u l a B a r S t a t e > ] ] > < / C u s t o m C o n t e n t > < / G e m i n i > 
</file>

<file path=customXml/item5.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 R o w   L a b e l s < / s t r i n g > < / k e y > < v a l u e > < i n t > 1 0 5 < / i n t > < / v a l u e > < / i t e m > < i t e m > < k e y > < s t r i n g > S u m   o f   A�  2 < / s t r i n g > < / k e y > < v a l u e > < i n t > 1 0 3 < / i n t > < / v a l u e > < / i t e m > < i t e m > < k e y > < s t r i n g > S u m   o f   E�2'F  ('1��1�  4/G< / s t r i n g > < / k e y > < v a l u e > < i n t > 1 6 9 < / i n t > < / v a l u e > < / i t e m > < i t e m > < k e y > < s t r i n g > E'F/G< / s t r i n g > < / k e y > < v a l u e > < i n t > 6 2 < / i n t > < / v a l u e > < / i t e m > < / C o l u m n W i d t h s > < C o l u m n D i s p l a y I n d e x > < i t e m > < k e y > < s t r i n g > R o w   L a b e l s < / s t r i n g > < / k e y > < v a l u e > < i n t > 0 < / i n t > < / v a l u e > < / i t e m > < i t e m > < k e y > < s t r i n g > S u m   o f   A�  2 < / s t r i n g > < / k e y > < v a l u e > < i n t > 1 < / i n t > < / v a l u e > < / i t e m > < i t e m > < k e y > < s t r i n g > S u m   o f   E�2'F  ('1��1�  4/G< / s t r i n g > < / k e y > < v a l u e > < i n t > 2 < / i n t > < / v a l u e > < / i t e m > < i t e m > < k e y > < s t r i n g > E'F/G< / s t r i n g > < / k e y > < v a l u e > < i n t > 3 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I s S a n d b o x E m b e d d e d " > < C u s t o m C o n t e n t > < ! [ C D A T A [ y e s ] ] > < / C u s t o m C o n t e n t > < / G e m i n i > 
</file>

<file path=customXml/item7.xml>��< ? x m l   v e r s i o n = " 1 . 0 "   e n c o d i n g = " U T F - 1 6 " ? > < G e m i n i   x m l n s = " h t t p : / / g e m i n i / p i v o t c u s t o m i z a t i o n / T a b l e X M L _ i n v o i c e " > < C u s t o m C o n t e n t > < ! [ C D A T A [ < T a b l e W i d g e t G r i d S e r i a l i z a t i o n   x m l n s : x s d = " h t t p : / / w w w . w 3 . o r g / 2 0 0 1 / X M L S c h e m a "   x m l n s : x s i = " h t t p : / / w w w . w 3 . o r g / 2 0 0 1 / X M L S c h e m a - i n s t a n c e " > < C o l u m n S u g g e s t e d T y p e   / > < C o l u m n F o r m a t   / > < C o l u m n A c c u r a c y   / > < C o l u m n C u r r e n c y S y m b o l   / > < C o l u m n P o s i t i v e P a t t e r n   / > < C o l u m n N e g a t i v e P a t t e r n   / > < C o l u m n W i d t h s > < i t e m > < k e y > < s t r i n g > 4E'1G  ~�4  A'�*H1< / s t r i n g > < / k e y > < v a l u e > < i n t > 1 2 3 < / i n t > < / v a l u e > < / i t e m > < i t e m > < k e y > < s t r i n g > F'E  E4*1�< / s t r i n g > < / k e y > < v a l u e > < i n t > 8 7 < / i n t > < / v a l u e > < / i t e m > < i t e m > < k e y > < s t r i n g > *'1�.< / s t r i n g > < / k e y > < v a l u e > < i n t > 6 5 < / i n t > < / v a l u e > < / i t e m > < i t e m > < k e y > < s t r i n g > *'1�.  E,H2  (G1G  (1/'1�< / s t r i n g > < / k e y > < v a l u e > < i n t > 1 5 3 < / i n t > < / v a l u e > < / i t e m > < i t e m > < k e y > < s t r i n g > E�2'F  3A'14< / s t r i n g > < / k e y > < v a l u e > < i n t > 1 0 0 < / i n t > < / v a l u e > < / i t e m > < i t e m > < k e y > < s t r i n g > A�< / s t r i n g > < / k e y > < v a l u e > < i n t > 4 6 < / i n t > < / v a l u e > < / i t e m > < i t e m > < k e y > < s t r i n g > E'G< / s t r i n g > < / k e y > < v a l u e > < i n t > 5 9 < / i n t > < / v a l u e > < / i t e m > < i t e m > < k e y > < s t r i n g > 3'D< / s t r i n g > < / k e y > < v a l u e > < i n t > 6 4 < / i n t > < / v a l u e > < / i t e m > < i t e m > < k e y > < s t r i n g > FH9  3A'14< / s t r i n g > < / k e y > < v a l u e > < i n t > 1 1 3 < / i n t > < / v a l u e > < / i t e m > < i t e m > < k e y > < s t r i n g > FH9  41�*< / s t r i n g > < / k e y > < v a l u e > < i n t > 1 0 9 < / i n t > < / v a l u e > < / i t e m > < i t e m > < k e y > < s t r i n g > *'1�.  'FB6'< / s t r i n g > < / k e y > < v a l u e > < i n t > 1 1 3 < / i n t > < / v a l u e > < / i t e m > < i t e m > < k e y > < s t r i n g > �E��< / s t r i n g > < / k e y > < v a l u e > < i n t > 7 3 < / i n t > < / v a l u e > < / i t e m > < i t e m > < k e y > < s t r i n g > /15/  E(D:  ~�4  /1�'A*< / s t r i n g > < / k e y > < v a l u e > < i n t > 1 8 7 < / i n t > < / v a l u e > < / i t e m > < i t e m > < k e y > < s t r i n g > '124  'A2H/G< / s t r i n g > < / k e y > < v a l u e > < i n t > 1 2 1 < / i n t > < / v a l u e > < / i t e m > < i t e m > < k e y > < s t r i n g > /15/  E�2'F  ('1��1�  4/G< / s t r i n g > < / k e y > < v a l u e > < i n t > 2 0 0 < / i n t > < / v a l u e > < / i t e m > < i t e m > < k e y > < s t r i n g > C a l c u l a t e d   C o l u m n   1 < / s t r i n g > < / k e y > < v a l u e > < i n t > 2 1 5 < / i n t > < / v a l u e > < / i t e m > < / C o l u m n W i d t h s > < C o l u m n D i s p l a y I n d e x > < i t e m > < k e y > < s t r i n g > 4E'1G  ~�4  A'�*H1< / s t r i n g > < / k e y > < v a l u e > < i n t > 0 < / i n t > < / v a l u e > < / i t e m > < i t e m > < k e y > < s t r i n g > F'E  E4*1�< / s t r i n g > < / k e y > < v a l u e > < i n t > 1 < / i n t > < / v a l u e > < / i t e m > < i t e m > < k e y > < s t r i n g > *'1�.< / s t r i n g > < / k e y > < v a l u e > < i n t > 2 < / i n t > < / v a l u e > < / i t e m > < i t e m > < k e y > < s t r i n g > *'1�.  E,H2  (G1G  (1/'1�< / s t r i n g > < / k e y > < v a l u e > < i n t > 3 < / i n t > < / v a l u e > < / i t e m > < i t e m > < k e y > < s t r i n g > E�2'F  3A'14< / s t r i n g > < / k e y > < v a l u e > < i n t > 4 < / i n t > < / v a l u e > < / i t e m > < i t e m > < k e y > < s t r i n g > A�< / s t r i n g > < / k e y > < v a l u e > < i n t > 5 < / i n t > < / v a l u e > < / i t e m > < i t e m > < k e y > < s t r i n g > E'G< / s t r i n g > < / k e y > < v a l u e > < i n t > 6 < / i n t > < / v a l u e > < / i t e m > < i t e m > < k e y > < s t r i n g > 3'D< / s t r i n g > < / k e y > < v a l u e > < i n t > 7 < / i n t > < / v a l u e > < / i t e m > < i t e m > < k e y > < s t r i n g > FH9  3A'14< / s t r i n g > < / k e y > < v a l u e > < i n t > 8 < / i n t > < / v a l u e > < / i t e m > < i t e m > < k e y > < s t r i n g > FH9  41�*< / s t r i n g > < / k e y > < v a l u e > < i n t > 9 < / i n t > < / v a l u e > < / i t e m > < i t e m > < k e y > < s t r i n g > *'1�.  'FB6'< / s t r i n g > < / k e y > < v a l u e > < i n t > 1 0 < / i n t > < / v a l u e > < / i t e m > < i t e m > < k e y > < s t r i n g > �E��< / s t r i n g > < / k e y > < v a l u e > < i n t > 1 1 < / i n t > < / v a l u e > < / i t e m > < i t e m > < k e y > < s t r i n g > /15/  E(D:  ~�4  /1�'A*< / s t r i n g > < / k e y > < v a l u e > < i n t > 1 2 < / i n t > < / v a l u e > < / i t e m > < i t e m > < k e y > < s t r i n g > '124  'A2H/G< / s t r i n g > < / k e y > < v a l u e > < i n t > 1 3 < / i n t > < / v a l u e > < / i t e m > < i t e m > < k e y > < s t r i n g > /15/  E�2'F  ('1��1�  4/G< / s t r i n g > < / k e y > < v a l u e > < i n t > 1 4 < / i n t > < / v a l u e > < / i t e m > < i t e m > < k e y > < s t r i n g > C a l c u l a t e d   C o l u m n   1 < / s t r i n g > < / k e y > < v a l u e > < i n t > 1 5 < / 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5 4 4 0 4 a 0 d - 0 c 3 7 - 4 e 2 0 - 8 1 9 c - 7 8 7 2 9 8 b 7 f e 3 3 " > < C u s t o m C o n t e n t > < ! [ C D A T A [ < ? x m l   v e r s i o n = " 1 . 0 "   e n c o d i n g = " u t f - 1 6 " ? > < S e t t i n g s > < C a l c u l a t e d F i e l d s > < i t e m > < M e a s u r e N a m e > m a x y e a r l o a d i n g < / M e a s u r e N a m e > < D i s p l a y N a m e > m a x y e a r l o a d i n g < / D i s p l a y N a m e > < V i s i b l e > F a l s e < / V i s i b l e > < / i t e m > < / C a l c u l a t e d F i e l d s > < S A H o s t H a s h > 0 < / S A H o s t H a s h > < G e m i n i F i e l d L i s t V i s i b l e > T r u e < / G e m i n i F i e l d L i s t V i s i b l e > < / S e t t i n g 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6977F71D-30C1-4145-89CA-8446AE8368BB}">
  <ds:schemaRefs/>
</ds:datastoreItem>
</file>

<file path=customXml/itemProps10.xml><?xml version="1.0" encoding="utf-8"?>
<ds:datastoreItem xmlns:ds="http://schemas.openxmlformats.org/officeDocument/2006/customXml" ds:itemID="{20748435-21AF-4A1D-B1C8-F1728CFC5882}">
  <ds:schemaRefs/>
</ds:datastoreItem>
</file>

<file path=customXml/itemProps11.xml><?xml version="1.0" encoding="utf-8"?>
<ds:datastoreItem xmlns:ds="http://schemas.openxmlformats.org/officeDocument/2006/customXml" ds:itemID="{46FCB1D7-CDC4-40E8-8D50-486869D9976E}">
  <ds:schemaRefs/>
</ds:datastoreItem>
</file>

<file path=customXml/itemProps12.xml><?xml version="1.0" encoding="utf-8"?>
<ds:datastoreItem xmlns:ds="http://schemas.openxmlformats.org/officeDocument/2006/customXml" ds:itemID="{983EF0B3-238E-4107-84D1-A50F4103081E}">
  <ds:schemaRefs/>
</ds:datastoreItem>
</file>

<file path=customXml/itemProps13.xml><?xml version="1.0" encoding="utf-8"?>
<ds:datastoreItem xmlns:ds="http://schemas.openxmlformats.org/officeDocument/2006/customXml" ds:itemID="{555CC835-0DF2-4C1A-85AA-743A12F92CD8}">
  <ds:schemaRefs/>
</ds:datastoreItem>
</file>

<file path=customXml/itemProps14.xml><?xml version="1.0" encoding="utf-8"?>
<ds:datastoreItem xmlns:ds="http://schemas.openxmlformats.org/officeDocument/2006/customXml" ds:itemID="{0457A87A-EEC0-4A7C-9E0B-08C6B381D5AC}">
  <ds:schemaRefs/>
</ds:datastoreItem>
</file>

<file path=customXml/itemProps15.xml><?xml version="1.0" encoding="utf-8"?>
<ds:datastoreItem xmlns:ds="http://schemas.openxmlformats.org/officeDocument/2006/customXml" ds:itemID="{F6C7DCE2-790C-4CAC-8523-F1E823E5ABD7}">
  <ds:schemaRefs/>
</ds:datastoreItem>
</file>

<file path=customXml/itemProps16.xml><?xml version="1.0" encoding="utf-8"?>
<ds:datastoreItem xmlns:ds="http://schemas.openxmlformats.org/officeDocument/2006/customXml" ds:itemID="{7D50B254-86D7-45EA-A5AD-5F10D36BB1ED}">
  <ds:schemaRefs/>
</ds:datastoreItem>
</file>

<file path=customXml/itemProps17.xml><?xml version="1.0" encoding="utf-8"?>
<ds:datastoreItem xmlns:ds="http://schemas.openxmlformats.org/officeDocument/2006/customXml" ds:itemID="{63780156-187C-424A-B036-FECF6154CA07}">
  <ds:schemaRefs/>
</ds:datastoreItem>
</file>

<file path=customXml/itemProps18.xml><?xml version="1.0" encoding="utf-8"?>
<ds:datastoreItem xmlns:ds="http://schemas.openxmlformats.org/officeDocument/2006/customXml" ds:itemID="{67B63294-85E8-494E-8A73-FB5E13976ECC}">
  <ds:schemaRefs/>
</ds:datastoreItem>
</file>

<file path=customXml/itemProps19.xml><?xml version="1.0" encoding="utf-8"?>
<ds:datastoreItem xmlns:ds="http://schemas.openxmlformats.org/officeDocument/2006/customXml" ds:itemID="{0DBAB788-6E3D-474B-A395-68B4552F605B}">
  <ds:schemaRefs/>
</ds:datastoreItem>
</file>

<file path=customXml/itemProps2.xml><?xml version="1.0" encoding="utf-8"?>
<ds:datastoreItem xmlns:ds="http://schemas.openxmlformats.org/officeDocument/2006/customXml" ds:itemID="{393C538C-2C6A-48E4-B502-9453DFFDB094}">
  <ds:schemaRefs/>
</ds:datastoreItem>
</file>

<file path=customXml/itemProps20.xml><?xml version="1.0" encoding="utf-8"?>
<ds:datastoreItem xmlns:ds="http://schemas.openxmlformats.org/officeDocument/2006/customXml" ds:itemID="{54677C93-1208-478B-A780-E8A1F89A0C6D}">
  <ds:schemaRefs/>
</ds:datastoreItem>
</file>

<file path=customXml/itemProps21.xml><?xml version="1.0" encoding="utf-8"?>
<ds:datastoreItem xmlns:ds="http://schemas.openxmlformats.org/officeDocument/2006/customXml" ds:itemID="{8BB1A174-1C1D-4E4B-B222-87DDAE127C38}">
  <ds:schemaRefs/>
</ds:datastoreItem>
</file>

<file path=customXml/itemProps22.xml><?xml version="1.0" encoding="utf-8"?>
<ds:datastoreItem xmlns:ds="http://schemas.openxmlformats.org/officeDocument/2006/customXml" ds:itemID="{F2E64851-2FB7-458B-ADC8-47B880B929E3}">
  <ds:schemaRefs>
    <ds:schemaRef ds:uri="http://schemas.microsoft.com/DataMashup"/>
  </ds:schemaRefs>
</ds:datastoreItem>
</file>

<file path=customXml/itemProps3.xml><?xml version="1.0" encoding="utf-8"?>
<ds:datastoreItem xmlns:ds="http://schemas.openxmlformats.org/officeDocument/2006/customXml" ds:itemID="{9755573F-DC31-4FB4-A77A-F345A042F82A}">
  <ds:schemaRefs/>
</ds:datastoreItem>
</file>

<file path=customXml/itemProps4.xml><?xml version="1.0" encoding="utf-8"?>
<ds:datastoreItem xmlns:ds="http://schemas.openxmlformats.org/officeDocument/2006/customXml" ds:itemID="{23CEAC43-932C-468D-BD3A-D261F4CA77A0}">
  <ds:schemaRefs/>
</ds:datastoreItem>
</file>

<file path=customXml/itemProps5.xml><?xml version="1.0" encoding="utf-8"?>
<ds:datastoreItem xmlns:ds="http://schemas.openxmlformats.org/officeDocument/2006/customXml" ds:itemID="{443D0EA1-14CD-40E5-AF1E-6044EE2CCBF1}">
  <ds:schemaRefs/>
</ds:datastoreItem>
</file>

<file path=customXml/itemProps6.xml><?xml version="1.0" encoding="utf-8"?>
<ds:datastoreItem xmlns:ds="http://schemas.openxmlformats.org/officeDocument/2006/customXml" ds:itemID="{684B3E6D-F699-42C5-BF3F-77FB0D9A3CDA}">
  <ds:schemaRefs/>
</ds:datastoreItem>
</file>

<file path=customXml/itemProps7.xml><?xml version="1.0" encoding="utf-8"?>
<ds:datastoreItem xmlns:ds="http://schemas.openxmlformats.org/officeDocument/2006/customXml" ds:itemID="{C0808A8A-E1AC-41AC-AF5C-6CA3BC811BCD}">
  <ds:schemaRefs/>
</ds:datastoreItem>
</file>

<file path=customXml/itemProps8.xml><?xml version="1.0" encoding="utf-8"?>
<ds:datastoreItem xmlns:ds="http://schemas.openxmlformats.org/officeDocument/2006/customXml" ds:itemID="{CDB9E747-2E3D-4ADC-A6FD-A1CBF99C714B}">
  <ds:schemaRefs/>
</ds:datastoreItem>
</file>

<file path=customXml/itemProps9.xml><?xml version="1.0" encoding="utf-8"?>
<ds:datastoreItem xmlns:ds="http://schemas.openxmlformats.org/officeDocument/2006/customXml" ds:itemID="{5263D718-3C3A-4EDA-B920-73657B65656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Report Dashboard</vt:lpstr>
      <vt:lpstr>عرضه بورس</vt:lpstr>
      <vt:lpstr>Sheet1</vt:lpstr>
      <vt:lpstr>لیست پیش فاکتور ها</vt:lpstr>
      <vt:lpstr>جزییات بارگیری</vt:lpstr>
      <vt:lpstr>زمانبندی فروش</vt:lpstr>
      <vt:lpstr>calc</vt:lpstr>
      <vt:lpstr>فروش انجمن</vt:lpstr>
      <vt:lpstr>زمانبندی فروش (2)</vt:lpstr>
      <vt:lpstr>'فروش انجمن'!Print_Area</vt:lpstr>
      <vt:lpstr>'زمانبندی فروش'!Print_Titles</vt:lpstr>
      <vt:lpstr>'زمانبندی فروش (2)'!Print_Titles</vt:lpstr>
      <vt:lpstr>'فروش انجمن'!Print_Titles</vt:lpstr>
      <vt:lpstr>year</vt:lpstr>
      <vt:lpstr>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Mehdi</dc:creator>
  <cp:lastModifiedBy>Akram Faraji</cp:lastModifiedBy>
  <cp:lastPrinted>2025-05-24T08:59:09Z</cp:lastPrinted>
  <dcterms:created xsi:type="dcterms:W3CDTF">2025-03-30T17:52:23Z</dcterms:created>
  <dcterms:modified xsi:type="dcterms:W3CDTF">2025-08-18T07:17:47Z</dcterms:modified>
</cp:coreProperties>
</file>